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D9E8FB01-118C-4BAC-9C2B-B0FBA292C862}" xr6:coauthVersionLast="47" xr6:coauthVersionMax="47" xr10:uidLastSave="{00000000-0000-0000-0000-000000000000}"/>
  <bookViews>
    <workbookView xWindow="-120" yWindow="-120" windowWidth="24240" windowHeight="13020" activeTab="2"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CONTROL'!$A$5:$W$77</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RIESGOS'!$AJ$13:$AJ$14</definedName>
    <definedName name="Reputacional">'3 PROBABIL E IMPACTO INHERENTE'!$Y$7:$Y$12</definedName>
    <definedName name="Requiere_Plan_de_Acción">'8 MAPA RIESGOS'!$AJ$13:$AJ$14</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35" l="1"/>
  <c r="F8" i="35"/>
  <c r="H14" i="15"/>
  <c r="F8" i="15"/>
  <c r="H8" i="15"/>
  <c r="I8" i="15"/>
  <c r="K8" i="15"/>
  <c r="L8" i="15"/>
  <c r="H6" i="30"/>
  <c r="I6" i="30" s="1"/>
  <c r="B3" i="33"/>
  <c r="B2" i="33"/>
  <c r="B2" i="37"/>
  <c r="B2" i="36"/>
  <c r="B2" i="35"/>
  <c r="B2" i="9"/>
  <c r="L1" i="31"/>
  <c r="J1" i="31"/>
  <c r="B2" i="31"/>
  <c r="J2" i="15"/>
  <c r="H2" i="15"/>
  <c r="B3" i="15"/>
  <c r="B2" i="15"/>
  <c r="A74" i="9"/>
  <c r="A70" i="9"/>
  <c r="A66" i="9"/>
  <c r="A62" i="9"/>
  <c r="A58" i="9"/>
  <c r="A54" i="9"/>
  <c r="A50" i="9"/>
  <c r="A46" i="9"/>
  <c r="A42" i="9"/>
  <c r="A38" i="9"/>
  <c r="A34" i="9"/>
  <c r="A30" i="9"/>
  <c r="A26" i="9"/>
  <c r="A22" i="9"/>
  <c r="A18" i="9"/>
  <c r="A14" i="9"/>
  <c r="A10" i="9"/>
  <c r="N77" i="9"/>
  <c r="L77" i="9"/>
  <c r="K77" i="9"/>
  <c r="I77" i="9"/>
  <c r="N76" i="9"/>
  <c r="L76" i="9"/>
  <c r="K76" i="9"/>
  <c r="I76" i="9"/>
  <c r="N75" i="9"/>
  <c r="L75" i="9"/>
  <c r="K75" i="9"/>
  <c r="I75" i="9"/>
  <c r="N74" i="9"/>
  <c r="L74" i="9"/>
  <c r="K74" i="9"/>
  <c r="I74" i="9"/>
  <c r="N73" i="9"/>
  <c r="L73" i="9"/>
  <c r="K73" i="9"/>
  <c r="I73" i="9"/>
  <c r="N72" i="9"/>
  <c r="L72" i="9"/>
  <c r="K72" i="9"/>
  <c r="I72" i="9"/>
  <c r="N71" i="9"/>
  <c r="L71" i="9"/>
  <c r="K71" i="9"/>
  <c r="I71" i="9"/>
  <c r="N70" i="9"/>
  <c r="L70" i="9"/>
  <c r="K70" i="9"/>
  <c r="I70" i="9"/>
  <c r="N69" i="9"/>
  <c r="L69" i="9"/>
  <c r="K69" i="9"/>
  <c r="R69" i="9" s="1"/>
  <c r="I69" i="9"/>
  <c r="N68" i="9"/>
  <c r="L68" i="9"/>
  <c r="K68" i="9"/>
  <c r="I68" i="9"/>
  <c r="N67" i="9"/>
  <c r="L67" i="9"/>
  <c r="K67" i="9"/>
  <c r="I67" i="9"/>
  <c r="N66" i="9"/>
  <c r="L66" i="9"/>
  <c r="K66" i="9"/>
  <c r="I66" i="9"/>
  <c r="N65" i="9"/>
  <c r="L65" i="9"/>
  <c r="K65" i="9"/>
  <c r="R65" i="9" s="1"/>
  <c r="I65" i="9"/>
  <c r="N64" i="9"/>
  <c r="L64" i="9"/>
  <c r="K64" i="9"/>
  <c r="I64" i="9"/>
  <c r="N63" i="9"/>
  <c r="L63" i="9"/>
  <c r="K63" i="9"/>
  <c r="I63" i="9"/>
  <c r="N62" i="9"/>
  <c r="L62" i="9"/>
  <c r="K62" i="9"/>
  <c r="I62" i="9"/>
  <c r="N61" i="9"/>
  <c r="L61" i="9"/>
  <c r="K61" i="9"/>
  <c r="I61" i="9"/>
  <c r="N60" i="9"/>
  <c r="L60" i="9"/>
  <c r="K60" i="9"/>
  <c r="I60" i="9"/>
  <c r="N59" i="9"/>
  <c r="L59" i="9"/>
  <c r="K59" i="9"/>
  <c r="I59" i="9"/>
  <c r="N58" i="9"/>
  <c r="L58" i="9"/>
  <c r="K58" i="9"/>
  <c r="I58" i="9"/>
  <c r="N57" i="9"/>
  <c r="L57" i="9"/>
  <c r="K57" i="9"/>
  <c r="I57" i="9"/>
  <c r="N56" i="9"/>
  <c r="L56" i="9"/>
  <c r="K56" i="9"/>
  <c r="I56" i="9"/>
  <c r="N55" i="9"/>
  <c r="L55" i="9"/>
  <c r="K55" i="9"/>
  <c r="I55" i="9"/>
  <c r="N54" i="9"/>
  <c r="L54" i="9"/>
  <c r="K54" i="9"/>
  <c r="I54" i="9"/>
  <c r="N53" i="9"/>
  <c r="L53" i="9"/>
  <c r="K53" i="9"/>
  <c r="I53" i="9"/>
  <c r="N52" i="9"/>
  <c r="L52" i="9"/>
  <c r="K52" i="9"/>
  <c r="I52" i="9"/>
  <c r="N51" i="9"/>
  <c r="L51" i="9"/>
  <c r="K51" i="9"/>
  <c r="I51" i="9"/>
  <c r="N50" i="9"/>
  <c r="L50" i="9"/>
  <c r="K50" i="9"/>
  <c r="I50" i="9"/>
  <c r="N49" i="9"/>
  <c r="L49" i="9"/>
  <c r="K49" i="9"/>
  <c r="I49" i="9"/>
  <c r="N48" i="9"/>
  <c r="L48" i="9"/>
  <c r="K48" i="9"/>
  <c r="I48" i="9"/>
  <c r="N47" i="9"/>
  <c r="L47" i="9"/>
  <c r="K47" i="9"/>
  <c r="I47" i="9"/>
  <c r="N46" i="9"/>
  <c r="L46" i="9"/>
  <c r="K46" i="9"/>
  <c r="I46" i="9"/>
  <c r="N45" i="9"/>
  <c r="L45" i="9"/>
  <c r="K45" i="9"/>
  <c r="I45" i="9"/>
  <c r="N44" i="9"/>
  <c r="L44" i="9"/>
  <c r="K44" i="9"/>
  <c r="I44" i="9"/>
  <c r="N43" i="9"/>
  <c r="L43" i="9"/>
  <c r="K43" i="9"/>
  <c r="I43" i="9"/>
  <c r="N42" i="9"/>
  <c r="L42" i="9"/>
  <c r="K42" i="9"/>
  <c r="I42" i="9"/>
  <c r="N41" i="9"/>
  <c r="L41" i="9"/>
  <c r="K41" i="9"/>
  <c r="I41" i="9"/>
  <c r="N40" i="9"/>
  <c r="L40" i="9"/>
  <c r="K40" i="9"/>
  <c r="I40" i="9"/>
  <c r="N39" i="9"/>
  <c r="L39" i="9"/>
  <c r="K39" i="9"/>
  <c r="I39" i="9"/>
  <c r="N38" i="9"/>
  <c r="L38" i="9"/>
  <c r="K38" i="9"/>
  <c r="I38" i="9"/>
  <c r="N37" i="9"/>
  <c r="L37" i="9"/>
  <c r="K37" i="9"/>
  <c r="I37" i="9"/>
  <c r="N36" i="9"/>
  <c r="L36" i="9"/>
  <c r="K36" i="9"/>
  <c r="I36" i="9"/>
  <c r="N35" i="9"/>
  <c r="L35" i="9"/>
  <c r="K35" i="9"/>
  <c r="I35" i="9"/>
  <c r="N34" i="9"/>
  <c r="L34" i="9"/>
  <c r="K34" i="9"/>
  <c r="I34" i="9"/>
  <c r="N33" i="9"/>
  <c r="L33" i="9"/>
  <c r="K33" i="9"/>
  <c r="I33" i="9"/>
  <c r="N32" i="9"/>
  <c r="L32" i="9"/>
  <c r="K32" i="9"/>
  <c r="I32" i="9"/>
  <c r="N31" i="9"/>
  <c r="L31" i="9"/>
  <c r="K31" i="9"/>
  <c r="I31" i="9"/>
  <c r="N30" i="9"/>
  <c r="L30" i="9"/>
  <c r="K30" i="9"/>
  <c r="I30" i="9"/>
  <c r="N29" i="9"/>
  <c r="L29" i="9"/>
  <c r="K29" i="9"/>
  <c r="I29" i="9"/>
  <c r="N28" i="9"/>
  <c r="L28" i="9"/>
  <c r="K28" i="9"/>
  <c r="R28" i="9" s="1"/>
  <c r="I28" i="9"/>
  <c r="N27" i="9"/>
  <c r="L27" i="9"/>
  <c r="K27" i="9"/>
  <c r="I27" i="9"/>
  <c r="N26" i="9"/>
  <c r="L26" i="9"/>
  <c r="K26" i="9"/>
  <c r="I26" i="9"/>
  <c r="N25" i="9"/>
  <c r="L25" i="9"/>
  <c r="K25" i="9"/>
  <c r="I25" i="9"/>
  <c r="N24" i="9"/>
  <c r="L24" i="9"/>
  <c r="K24" i="9"/>
  <c r="I24" i="9"/>
  <c r="N23" i="9"/>
  <c r="L23" i="9"/>
  <c r="K23" i="9"/>
  <c r="I23" i="9"/>
  <c r="N22" i="9"/>
  <c r="L22" i="9"/>
  <c r="K22" i="9"/>
  <c r="I22" i="9"/>
  <c r="N21" i="9"/>
  <c r="L21" i="9"/>
  <c r="K21" i="9"/>
  <c r="I21" i="9"/>
  <c r="N20" i="9"/>
  <c r="L20" i="9"/>
  <c r="K20" i="9"/>
  <c r="I20" i="9"/>
  <c r="N19" i="9"/>
  <c r="L19" i="9"/>
  <c r="K19" i="9"/>
  <c r="I19" i="9"/>
  <c r="N18" i="9"/>
  <c r="L18" i="9"/>
  <c r="K18" i="9"/>
  <c r="I18" i="9"/>
  <c r="N17" i="9"/>
  <c r="L17" i="9"/>
  <c r="K17" i="9"/>
  <c r="I17" i="9"/>
  <c r="N16" i="9"/>
  <c r="L16" i="9"/>
  <c r="K16" i="9"/>
  <c r="I16" i="9"/>
  <c r="N15" i="9"/>
  <c r="L15" i="9"/>
  <c r="K15" i="9"/>
  <c r="I15" i="9"/>
  <c r="N14" i="9"/>
  <c r="L14" i="9"/>
  <c r="K14" i="9"/>
  <c r="I14" i="9"/>
  <c r="N13" i="9"/>
  <c r="L13" i="9"/>
  <c r="K13" i="9"/>
  <c r="I13" i="9"/>
  <c r="N12" i="9"/>
  <c r="L12" i="9"/>
  <c r="K12" i="9"/>
  <c r="I12" i="9"/>
  <c r="N11" i="9"/>
  <c r="L11" i="9"/>
  <c r="K11" i="9"/>
  <c r="I11" i="9"/>
  <c r="N10" i="9"/>
  <c r="L10" i="9"/>
  <c r="K10" i="9"/>
  <c r="I10" i="9"/>
  <c r="N8" i="9"/>
  <c r="L8" i="9"/>
  <c r="K8" i="9"/>
  <c r="I8" i="9"/>
  <c r="I9" i="9"/>
  <c r="I7" i="9"/>
  <c r="I6" i="9"/>
  <c r="I1" i="31"/>
  <c r="G2" i="15"/>
  <c r="L7" i="9"/>
  <c r="L9" i="9"/>
  <c r="L6" i="9"/>
  <c r="H7" i="30"/>
  <c r="I7" i="30" s="1"/>
  <c r="H8" i="30"/>
  <c r="I8" i="30" s="1"/>
  <c r="H9" i="30"/>
  <c r="I9" i="30" s="1"/>
  <c r="H10" i="30"/>
  <c r="I10" i="30" s="1"/>
  <c r="H11" i="30"/>
  <c r="I11" i="30" s="1"/>
  <c r="H12" i="30"/>
  <c r="I12" i="30" s="1"/>
  <c r="H13" i="30"/>
  <c r="I13" i="30" s="1"/>
  <c r="H14" i="30"/>
  <c r="I14" i="30" s="1"/>
  <c r="H15" i="30"/>
  <c r="I15" i="30" s="1"/>
  <c r="H16" i="30"/>
  <c r="I16" i="30" s="1"/>
  <c r="H17" i="30"/>
  <c r="I17" i="30" s="1"/>
  <c r="H18" i="30"/>
  <c r="I18" i="30" s="1"/>
  <c r="H19" i="30"/>
  <c r="I19" i="30" s="1"/>
  <c r="H20" i="30"/>
  <c r="I20" i="30" s="1"/>
  <c r="H21" i="30"/>
  <c r="I21" i="30" s="1"/>
  <c r="H22" i="30"/>
  <c r="I22" i="30" s="1"/>
  <c r="H23" i="30"/>
  <c r="I23" i="30" s="1"/>
  <c r="H7" i="15"/>
  <c r="H9" i="15"/>
  <c r="H10" i="15"/>
  <c r="H11" i="15"/>
  <c r="H12" i="15"/>
  <c r="H13" i="15"/>
  <c r="H15" i="15"/>
  <c r="H16" i="15"/>
  <c r="H17" i="15"/>
  <c r="H18" i="15"/>
  <c r="H19" i="15"/>
  <c r="M19" i="15" s="1"/>
  <c r="H20" i="15"/>
  <c r="H21" i="15"/>
  <c r="H22" i="15"/>
  <c r="H23" i="15"/>
  <c r="H24" i="15"/>
  <c r="H25" i="15"/>
  <c r="H26" i="15"/>
  <c r="L7" i="15"/>
  <c r="K9" i="15"/>
  <c r="L9" i="15"/>
  <c r="K10" i="15"/>
  <c r="L10" i="15"/>
  <c r="K11" i="15"/>
  <c r="L11" i="15"/>
  <c r="K12" i="15"/>
  <c r="L12" i="15"/>
  <c r="K13" i="15"/>
  <c r="M13" i="15" s="1"/>
  <c r="L13" i="15"/>
  <c r="K14" i="15"/>
  <c r="M14" i="15" s="1"/>
  <c r="L14" i="15"/>
  <c r="K15" i="15"/>
  <c r="L15" i="15"/>
  <c r="K16" i="15"/>
  <c r="L16" i="15"/>
  <c r="K17" i="15"/>
  <c r="M17" i="15" s="1"/>
  <c r="L17" i="15"/>
  <c r="K18" i="15"/>
  <c r="M18" i="15" s="1"/>
  <c r="L18" i="15"/>
  <c r="K19" i="15"/>
  <c r="L19" i="15"/>
  <c r="K20" i="15"/>
  <c r="M20" i="15" s="1"/>
  <c r="L20" i="15"/>
  <c r="K21" i="15"/>
  <c r="L21" i="15"/>
  <c r="K22" i="15"/>
  <c r="L22" i="15"/>
  <c r="K23" i="15"/>
  <c r="L23" i="15"/>
  <c r="K24" i="15"/>
  <c r="M24" i="15" s="1"/>
  <c r="D66" i="9" s="1"/>
  <c r="L24" i="15"/>
  <c r="K25" i="15"/>
  <c r="M25" i="15" s="1"/>
  <c r="L25" i="15"/>
  <c r="K26" i="15"/>
  <c r="M26" i="15" s="1"/>
  <c r="D74" i="9" s="1"/>
  <c r="L26" i="15"/>
  <c r="K7" i="15"/>
  <c r="I9" i="15"/>
  <c r="I10" i="15"/>
  <c r="I11" i="15"/>
  <c r="I12" i="15"/>
  <c r="I13" i="15"/>
  <c r="I14" i="15"/>
  <c r="I15" i="15"/>
  <c r="I16" i="15"/>
  <c r="I17" i="15"/>
  <c r="I18" i="15"/>
  <c r="I19" i="15"/>
  <c r="I20" i="15"/>
  <c r="I21" i="15"/>
  <c r="I22" i="15"/>
  <c r="I23" i="15"/>
  <c r="I24" i="15"/>
  <c r="I25" i="15"/>
  <c r="I26" i="15"/>
  <c r="I7" i="15"/>
  <c r="D7" i="15"/>
  <c r="D9" i="15"/>
  <c r="F9" i="15" s="1"/>
  <c r="C9" i="31" s="1"/>
  <c r="D10" i="15"/>
  <c r="D11" i="15"/>
  <c r="F11" i="15" s="1"/>
  <c r="C11" i="31" s="1"/>
  <c r="D12" i="15"/>
  <c r="D13" i="15"/>
  <c r="F13" i="15" s="1"/>
  <c r="C13" i="31" s="1"/>
  <c r="F14" i="15"/>
  <c r="C14" i="31" s="1"/>
  <c r="D15" i="15"/>
  <c r="F15" i="15" s="1"/>
  <c r="C15" i="31" s="1"/>
  <c r="D16" i="15"/>
  <c r="D17" i="15"/>
  <c r="F17" i="15" s="1"/>
  <c r="C17" i="31" s="1"/>
  <c r="E17" i="31" s="1"/>
  <c r="G15" i="36" s="1"/>
  <c r="D18" i="15"/>
  <c r="D19" i="15"/>
  <c r="F19" i="15" s="1"/>
  <c r="C19" i="31" s="1"/>
  <c r="D20" i="15"/>
  <c r="D21" i="15"/>
  <c r="F21" i="15" s="1"/>
  <c r="C21" i="31" s="1"/>
  <c r="D22" i="15"/>
  <c r="D23" i="15"/>
  <c r="F23" i="15" s="1"/>
  <c r="C23" i="31" s="1"/>
  <c r="D24" i="15"/>
  <c r="F24" i="15" s="1"/>
  <c r="C24" i="31" s="1"/>
  <c r="D25" i="15"/>
  <c r="F25" i="15" s="1"/>
  <c r="C25" i="31" s="1"/>
  <c r="D26" i="15"/>
  <c r="E19" i="15"/>
  <c r="C17" i="36" s="1"/>
  <c r="E7" i="15"/>
  <c r="E25" i="15"/>
  <c r="E17" i="15"/>
  <c r="M10" i="15"/>
  <c r="F7" i="15"/>
  <c r="C7" i="31" s="1"/>
  <c r="M16" i="15"/>
  <c r="M21" i="15"/>
  <c r="M9" i="15"/>
  <c r="E7" i="30"/>
  <c r="B9" i="35" s="1"/>
  <c r="E8" i="30"/>
  <c r="E9" i="30"/>
  <c r="B18" i="9" s="1"/>
  <c r="E10" i="30"/>
  <c r="B11" i="36" s="1"/>
  <c r="E11" i="30"/>
  <c r="B26" i="9" s="1"/>
  <c r="E12" i="30"/>
  <c r="B30" i="9" s="1"/>
  <c r="E13" i="30"/>
  <c r="B16" i="35" s="1"/>
  <c r="E14" i="30"/>
  <c r="B38" i="9" s="1"/>
  <c r="E15" i="30"/>
  <c r="B18" i="35" s="1"/>
  <c r="E16" i="30"/>
  <c r="B46" i="9" s="1"/>
  <c r="E17" i="30"/>
  <c r="B20" i="35" s="1"/>
  <c r="E18" i="30"/>
  <c r="B54" i="9" s="1"/>
  <c r="E19" i="30"/>
  <c r="B22" i="35" s="1"/>
  <c r="E20" i="30"/>
  <c r="B62" i="9" s="1"/>
  <c r="E21" i="30"/>
  <c r="B24" i="35" s="1"/>
  <c r="E22" i="30"/>
  <c r="B70" i="9" s="1"/>
  <c r="E23" i="30"/>
  <c r="B26" i="15" s="1"/>
  <c r="E6" i="30"/>
  <c r="B6" i="9" s="1"/>
  <c r="B24" i="36"/>
  <c r="A24" i="36"/>
  <c r="A23" i="36"/>
  <c r="B22" i="36"/>
  <c r="A22" i="36"/>
  <c r="A21" i="36"/>
  <c r="B20" i="36"/>
  <c r="A20" i="36"/>
  <c r="A19" i="36"/>
  <c r="B18" i="36"/>
  <c r="A18" i="36"/>
  <c r="A17" i="36"/>
  <c r="B16" i="36"/>
  <c r="A16" i="36"/>
  <c r="A15" i="36"/>
  <c r="B14" i="36"/>
  <c r="A14" i="36"/>
  <c r="A13" i="36"/>
  <c r="A12" i="36"/>
  <c r="A11" i="36"/>
  <c r="A10" i="36"/>
  <c r="A9" i="36"/>
  <c r="A8" i="36"/>
  <c r="A7" i="36"/>
  <c r="A26" i="35"/>
  <c r="B25" i="35"/>
  <c r="A25" i="35"/>
  <c r="A24" i="35"/>
  <c r="A23" i="35"/>
  <c r="A22" i="35"/>
  <c r="A21" i="35"/>
  <c r="A20" i="35"/>
  <c r="A19" i="35"/>
  <c r="A18" i="35"/>
  <c r="B17" i="35"/>
  <c r="A17" i="35"/>
  <c r="A16" i="35"/>
  <c r="A15" i="35"/>
  <c r="A13" i="35"/>
  <c r="B12" i="35"/>
  <c r="A12" i="35"/>
  <c r="A11" i="35"/>
  <c r="A10" i="35"/>
  <c r="A9" i="35"/>
  <c r="A7" i="35"/>
  <c r="N6" i="9"/>
  <c r="N7" i="9"/>
  <c r="N9" i="9"/>
  <c r="A6" i="9"/>
  <c r="K7" i="9"/>
  <c r="K9" i="9"/>
  <c r="K6" i="9"/>
  <c r="A9" i="31"/>
  <c r="A7" i="31"/>
  <c r="A10" i="31"/>
  <c r="A11" i="31"/>
  <c r="A12" i="31"/>
  <c r="B12" i="31"/>
  <c r="A13" i="31"/>
  <c r="A15" i="31"/>
  <c r="A16" i="31"/>
  <c r="A17" i="31"/>
  <c r="A18" i="31"/>
  <c r="A19" i="31"/>
  <c r="A20" i="31"/>
  <c r="A21" i="31"/>
  <c r="A22" i="31"/>
  <c r="A23" i="31"/>
  <c r="A24" i="31"/>
  <c r="A25" i="31"/>
  <c r="A26" i="31"/>
  <c r="A15" i="15"/>
  <c r="A16" i="15"/>
  <c r="B16" i="15"/>
  <c r="A17" i="15"/>
  <c r="B17" i="15"/>
  <c r="A18" i="15"/>
  <c r="B18" i="15"/>
  <c r="A19" i="15"/>
  <c r="B19" i="15"/>
  <c r="A20" i="15"/>
  <c r="B20" i="15"/>
  <c r="A21" i="15"/>
  <c r="B21" i="15"/>
  <c r="A22" i="15"/>
  <c r="B22" i="15"/>
  <c r="A23" i="15"/>
  <c r="B23" i="15"/>
  <c r="A24" i="15"/>
  <c r="B24" i="15"/>
  <c r="A25" i="15"/>
  <c r="B25" i="15"/>
  <c r="A26" i="15"/>
  <c r="A14" i="15"/>
  <c r="A13" i="15"/>
  <c r="B12" i="15"/>
  <c r="A12" i="15"/>
  <c r="A11" i="15"/>
  <c r="A10" i="15"/>
  <c r="A9" i="15"/>
  <c r="A7" i="15"/>
  <c r="R8" i="9" l="1"/>
  <c r="R73" i="9"/>
  <c r="R10" i="9"/>
  <c r="R11" i="9"/>
  <c r="R12" i="9"/>
  <c r="R13" i="9"/>
  <c r="R14" i="9"/>
  <c r="R16" i="9"/>
  <c r="R17" i="9"/>
  <c r="R18" i="9"/>
  <c r="R19" i="9"/>
  <c r="R20" i="9"/>
  <c r="R21" i="9"/>
  <c r="R22" i="9"/>
  <c r="R23" i="9"/>
  <c r="R24" i="9"/>
  <c r="R26" i="9"/>
  <c r="R32" i="9"/>
  <c r="R36" i="9"/>
  <c r="R37" i="9"/>
  <c r="R38" i="9"/>
  <c r="R40" i="9"/>
  <c r="R44" i="9"/>
  <c r="R56" i="9"/>
  <c r="R57" i="9"/>
  <c r="R58" i="9"/>
  <c r="R59" i="9"/>
  <c r="R60" i="9"/>
  <c r="R61" i="9"/>
  <c r="R62" i="9"/>
  <c r="R63" i="9"/>
  <c r="R64" i="9"/>
  <c r="R66" i="9"/>
  <c r="R67" i="9"/>
  <c r="R68" i="9"/>
  <c r="R70" i="9"/>
  <c r="R71" i="9"/>
  <c r="R72" i="9"/>
  <c r="R74" i="9"/>
  <c r="R75" i="9"/>
  <c r="R76" i="9"/>
  <c r="R77" i="9"/>
  <c r="R29" i="9"/>
  <c r="R30" i="9"/>
  <c r="R31" i="9"/>
  <c r="R34" i="9"/>
  <c r="R6" i="9"/>
  <c r="R25" i="9"/>
  <c r="R33" i="9"/>
  <c r="R41" i="9"/>
  <c r="R42" i="9"/>
  <c r="R43" i="9"/>
  <c r="R35" i="9"/>
  <c r="R45" i="9"/>
  <c r="R46" i="9"/>
  <c r="R47" i="9"/>
  <c r="R48" i="9"/>
  <c r="R49" i="9"/>
  <c r="R50" i="9"/>
  <c r="R51" i="9"/>
  <c r="R52" i="9"/>
  <c r="R53" i="9"/>
  <c r="R54" i="9"/>
  <c r="R55" i="9"/>
  <c r="R27" i="9"/>
  <c r="R7" i="9"/>
  <c r="M8" i="15"/>
  <c r="N8" i="15" s="1"/>
  <c r="D8" i="31" s="1"/>
  <c r="E9" i="15"/>
  <c r="E24" i="15"/>
  <c r="C66" i="9" s="1"/>
  <c r="S66" i="9" s="1"/>
  <c r="S67" i="9" s="1"/>
  <c r="S68" i="9" s="1"/>
  <c r="S69" i="9" s="1"/>
  <c r="M22" i="15"/>
  <c r="E21" i="15"/>
  <c r="C19" i="36" s="1"/>
  <c r="E23" i="15"/>
  <c r="M23" i="15"/>
  <c r="D21" i="36" s="1"/>
  <c r="C46" i="9"/>
  <c r="S46" i="9" s="1"/>
  <c r="S47" i="9" s="1"/>
  <c r="S48" i="9" s="1"/>
  <c r="S49" i="9" s="1"/>
  <c r="C54" i="9"/>
  <c r="B26" i="31"/>
  <c r="B24" i="31"/>
  <c r="B22" i="31"/>
  <c r="B20" i="31"/>
  <c r="B18" i="31"/>
  <c r="B16" i="31"/>
  <c r="B23" i="35"/>
  <c r="B66" i="9"/>
  <c r="B58" i="9"/>
  <c r="B50" i="9"/>
  <c r="B42" i="9"/>
  <c r="B34" i="9"/>
  <c r="B21" i="35"/>
  <c r="B15" i="36"/>
  <c r="B17" i="36"/>
  <c r="B19" i="36"/>
  <c r="B21" i="36"/>
  <c r="B23" i="36"/>
  <c r="B25" i="31"/>
  <c r="B23" i="31"/>
  <c r="B21" i="31"/>
  <c r="B19" i="31"/>
  <c r="B17" i="31"/>
  <c r="B19" i="35"/>
  <c r="B26" i="35"/>
  <c r="B74" i="9"/>
  <c r="B22" i="9"/>
  <c r="M12" i="15"/>
  <c r="M11" i="15"/>
  <c r="D18" i="9" s="1"/>
  <c r="T18" i="9" s="1"/>
  <c r="T19" i="9" s="1"/>
  <c r="T20" i="9" s="1"/>
  <c r="T21" i="9" s="1"/>
  <c r="M15" i="15"/>
  <c r="D13" i="36" s="1"/>
  <c r="D22" i="9"/>
  <c r="T22" i="9" s="1"/>
  <c r="T23" i="9" s="1"/>
  <c r="T24" i="9" s="1"/>
  <c r="T25" i="9" s="1"/>
  <c r="I11" i="36" s="1"/>
  <c r="K11" i="36" s="1"/>
  <c r="D11" i="36"/>
  <c r="N12" i="15"/>
  <c r="D12" i="31" s="1"/>
  <c r="F11" i="36" s="1"/>
  <c r="E11" i="15"/>
  <c r="E13" i="15"/>
  <c r="E14" i="15"/>
  <c r="E15" i="15"/>
  <c r="B15" i="35"/>
  <c r="B15" i="15"/>
  <c r="B15" i="31"/>
  <c r="B13" i="36"/>
  <c r="B12" i="36"/>
  <c r="B13" i="15"/>
  <c r="B13" i="31"/>
  <c r="B13" i="35"/>
  <c r="B11" i="15"/>
  <c r="B11" i="35"/>
  <c r="B10" i="36"/>
  <c r="B11" i="31"/>
  <c r="R15" i="9"/>
  <c r="R39" i="9"/>
  <c r="T66" i="9"/>
  <c r="T67" i="9" s="1"/>
  <c r="T68" i="9" s="1"/>
  <c r="T69" i="9" s="1"/>
  <c r="V66" i="9" s="1"/>
  <c r="T74" i="9"/>
  <c r="T75" i="9" s="1"/>
  <c r="T76" i="9" s="1"/>
  <c r="T77" i="9" s="1"/>
  <c r="R9" i="9"/>
  <c r="D30" i="9"/>
  <c r="T30" i="9" s="1"/>
  <c r="T31" i="9" s="1"/>
  <c r="T32" i="9" s="1"/>
  <c r="T33" i="9" s="1"/>
  <c r="D38" i="9"/>
  <c r="T38" i="9" s="1"/>
  <c r="T39" i="9" s="1"/>
  <c r="T40" i="9" s="1"/>
  <c r="T41" i="9" s="1"/>
  <c r="N17" i="15"/>
  <c r="D17" i="31" s="1"/>
  <c r="F15" i="36" s="1"/>
  <c r="D15" i="36"/>
  <c r="D42" i="9"/>
  <c r="T42" i="9" s="1"/>
  <c r="T43" i="9" s="1"/>
  <c r="T44" i="9" s="1"/>
  <c r="T45" i="9" s="1"/>
  <c r="D16" i="36"/>
  <c r="N18" i="15"/>
  <c r="D18" i="31" s="1"/>
  <c r="F16" i="36" s="1"/>
  <c r="D62" i="9"/>
  <c r="T62" i="9" s="1"/>
  <c r="T63" i="9" s="1"/>
  <c r="T64" i="9" s="1"/>
  <c r="T65" i="9" s="1"/>
  <c r="N23" i="15"/>
  <c r="D23" i="31" s="1"/>
  <c r="F21" i="36" s="1"/>
  <c r="D23" i="36"/>
  <c r="N25" i="15"/>
  <c r="D25" i="31" s="1"/>
  <c r="F23" i="36" s="1"/>
  <c r="D70" i="9"/>
  <c r="T70" i="9" s="1"/>
  <c r="T71" i="9" s="1"/>
  <c r="T72" i="9" s="1"/>
  <c r="T73" i="9" s="1"/>
  <c r="C8" i="31"/>
  <c r="E8" i="36"/>
  <c r="E10" i="15"/>
  <c r="F10" i="15"/>
  <c r="C10" i="31" s="1"/>
  <c r="E10" i="36"/>
  <c r="E12" i="15"/>
  <c r="F12" i="15"/>
  <c r="C12" i="31" s="1"/>
  <c r="E16" i="15"/>
  <c r="F16" i="15"/>
  <c r="C16" i="31" s="1"/>
  <c r="E18" i="15"/>
  <c r="F18" i="15"/>
  <c r="C18" i="31" s="1"/>
  <c r="E17" i="36"/>
  <c r="E19" i="31"/>
  <c r="G17" i="36" s="1"/>
  <c r="E20" i="15"/>
  <c r="F20" i="15"/>
  <c r="C20" i="31" s="1"/>
  <c r="E19" i="36"/>
  <c r="E21" i="31"/>
  <c r="G19" i="36" s="1"/>
  <c r="E22" i="15"/>
  <c r="F22" i="15"/>
  <c r="C22" i="31" s="1"/>
  <c r="E26" i="15"/>
  <c r="F26" i="15"/>
  <c r="C26" i="31" s="1"/>
  <c r="C62" i="9"/>
  <c r="S62" i="9" s="1"/>
  <c r="S63" i="9" s="1"/>
  <c r="S64" i="9" s="1"/>
  <c r="S65" i="9" s="1"/>
  <c r="C21" i="36"/>
  <c r="C7" i="36"/>
  <c r="C6" i="9"/>
  <c r="S6" i="9" s="1"/>
  <c r="S7" i="9" s="1"/>
  <c r="S8" i="9" s="1"/>
  <c r="S9" i="9" s="1"/>
  <c r="C70" i="9"/>
  <c r="S70" i="9" s="1"/>
  <c r="S71" i="9" s="1"/>
  <c r="S72" i="9" s="1"/>
  <c r="S73" i="9" s="1"/>
  <c r="C23" i="36"/>
  <c r="C38" i="9"/>
  <c r="S38" i="9" s="1"/>
  <c r="S39" i="9" s="1"/>
  <c r="S40" i="9" s="1"/>
  <c r="S41" i="9" s="1"/>
  <c r="C15" i="36"/>
  <c r="C12" i="36"/>
  <c r="C26" i="9"/>
  <c r="S26" i="9" s="1"/>
  <c r="S27" i="9" s="1"/>
  <c r="S28" i="9" s="1"/>
  <c r="S29" i="9" s="1"/>
  <c r="C10" i="9"/>
  <c r="S10" i="9" s="1"/>
  <c r="S11" i="9" s="1"/>
  <c r="S12" i="9" s="1"/>
  <c r="S13" i="9" s="1"/>
  <c r="C8" i="36"/>
  <c r="D9" i="36"/>
  <c r="D14" i="9"/>
  <c r="T14" i="9" s="1"/>
  <c r="N10" i="15"/>
  <c r="D10" i="31" s="1"/>
  <c r="F9" i="36" s="1"/>
  <c r="D17" i="36"/>
  <c r="D46" i="9"/>
  <c r="T46" i="9" s="1"/>
  <c r="T47" i="9" s="1"/>
  <c r="T48" i="9" s="1"/>
  <c r="T49" i="9" s="1"/>
  <c r="D20" i="36"/>
  <c r="D58" i="9"/>
  <c r="T58" i="9" s="1"/>
  <c r="T59" i="9" s="1"/>
  <c r="T60" i="9" s="1"/>
  <c r="T61" i="9" s="1"/>
  <c r="N22" i="15"/>
  <c r="D22" i="31" s="1"/>
  <c r="F20" i="36" s="1"/>
  <c r="D34" i="9"/>
  <c r="T34" i="9" s="1"/>
  <c r="T35" i="9" s="1"/>
  <c r="T36" i="9" s="1"/>
  <c r="T37" i="9" s="1"/>
  <c r="D14" i="36"/>
  <c r="N16" i="15"/>
  <c r="D16" i="31" s="1"/>
  <c r="F14" i="36" s="1"/>
  <c r="D54" i="9"/>
  <c r="T54" i="9" s="1"/>
  <c r="T55" i="9" s="1"/>
  <c r="T56" i="9" s="1"/>
  <c r="T57" i="9" s="1"/>
  <c r="D19" i="36"/>
  <c r="D12" i="36"/>
  <c r="D26" i="9"/>
  <c r="T26" i="9" s="1"/>
  <c r="T27" i="9" s="1"/>
  <c r="T28" i="9" s="1"/>
  <c r="T29" i="9" s="1"/>
  <c r="N13" i="15"/>
  <c r="D13" i="31" s="1"/>
  <c r="F12" i="36" s="1"/>
  <c r="D10" i="9"/>
  <c r="T10" i="9" s="1"/>
  <c r="T11" i="9" s="1"/>
  <c r="T12" i="9" s="1"/>
  <c r="T13" i="9" s="1"/>
  <c r="D8" i="36"/>
  <c r="N9" i="15"/>
  <c r="D9" i="31" s="1"/>
  <c r="F8" i="36" s="1"/>
  <c r="D18" i="36"/>
  <c r="D50" i="9"/>
  <c r="T50" i="9" s="1"/>
  <c r="T51" i="9" s="1"/>
  <c r="T52" i="9" s="1"/>
  <c r="T53" i="9" s="1"/>
  <c r="B9" i="36"/>
  <c r="B14" i="9"/>
  <c r="E24" i="31"/>
  <c r="G22" i="36" s="1"/>
  <c r="E22" i="36"/>
  <c r="E25" i="31"/>
  <c r="G23" i="36" s="1"/>
  <c r="E23" i="36"/>
  <c r="E23" i="31"/>
  <c r="G21" i="36" s="1"/>
  <c r="E21" i="36"/>
  <c r="D24" i="36"/>
  <c r="N26" i="15"/>
  <c r="D26" i="31" s="1"/>
  <c r="F24" i="36" s="1"/>
  <c r="D22" i="36"/>
  <c r="N24" i="15"/>
  <c r="D24" i="31" s="1"/>
  <c r="F22" i="36" s="1"/>
  <c r="E12" i="36"/>
  <c r="E13" i="36"/>
  <c r="E15" i="36"/>
  <c r="E7" i="36"/>
  <c r="N19" i="15"/>
  <c r="D19" i="31" s="1"/>
  <c r="F17" i="36" s="1"/>
  <c r="N11" i="15"/>
  <c r="D11" i="31" s="1"/>
  <c r="F10" i="36" s="1"/>
  <c r="N14" i="15"/>
  <c r="D14" i="31" s="1"/>
  <c r="N21" i="15"/>
  <c r="D21" i="31" s="1"/>
  <c r="F19" i="36" s="1"/>
  <c r="N20" i="15"/>
  <c r="D20" i="31" s="1"/>
  <c r="F18" i="36" s="1"/>
  <c r="C22" i="36"/>
  <c r="M7" i="15"/>
  <c r="S54" i="9"/>
  <c r="S55" i="9" s="1"/>
  <c r="S56" i="9" s="1"/>
  <c r="S57" i="9" s="1"/>
  <c r="B10" i="35"/>
  <c r="B10" i="31"/>
  <c r="B10" i="15"/>
  <c r="B9" i="15"/>
  <c r="B9" i="31"/>
  <c r="B10" i="9"/>
  <c r="B8" i="36"/>
  <c r="B7" i="31"/>
  <c r="B7" i="35"/>
  <c r="B7" i="36"/>
  <c r="B7" i="15"/>
  <c r="T15" i="9" l="1"/>
  <c r="T16" i="9" s="1"/>
  <c r="T17" i="9" s="1"/>
  <c r="I22" i="36"/>
  <c r="K22" i="36" s="1"/>
  <c r="E9" i="31"/>
  <c r="G8" i="36" s="1"/>
  <c r="C18" i="36"/>
  <c r="C50" i="9"/>
  <c r="S50" i="9" s="1"/>
  <c r="S51" i="9" s="1"/>
  <c r="S52" i="9" s="1"/>
  <c r="S53" i="9" s="1"/>
  <c r="D24" i="35"/>
  <c r="F24" i="35" s="1"/>
  <c r="N15" i="15"/>
  <c r="D15" i="31" s="1"/>
  <c r="F13" i="36" s="1"/>
  <c r="D10" i="36"/>
  <c r="E14" i="31"/>
  <c r="E13" i="31"/>
  <c r="G12" i="36" s="1"/>
  <c r="D12" i="35"/>
  <c r="F12" i="35" s="1"/>
  <c r="V22" i="9"/>
  <c r="E11" i="31"/>
  <c r="G10" i="36" s="1"/>
  <c r="C18" i="9"/>
  <c r="S18" i="9" s="1"/>
  <c r="S19" i="9" s="1"/>
  <c r="S20" i="9" s="1"/>
  <c r="S21" i="9" s="1"/>
  <c r="H10" i="36" s="1"/>
  <c r="J10" i="36" s="1"/>
  <c r="C10" i="36"/>
  <c r="C30" i="9"/>
  <c r="S30" i="9" s="1"/>
  <c r="S31" i="9" s="1"/>
  <c r="S32" i="9" s="1"/>
  <c r="S33" i="9" s="1"/>
  <c r="C15" i="35" s="1"/>
  <c r="E15" i="35" s="1"/>
  <c r="C13" i="36"/>
  <c r="I24" i="36"/>
  <c r="K24" i="36" s="1"/>
  <c r="D26" i="35"/>
  <c r="F26" i="35" s="1"/>
  <c r="V74" i="9"/>
  <c r="C7" i="35"/>
  <c r="U6" i="9"/>
  <c r="U66" i="9"/>
  <c r="C24" i="35"/>
  <c r="E24" i="35" s="1"/>
  <c r="G24" i="35" s="1"/>
  <c r="H22" i="36"/>
  <c r="J22" i="36" s="1"/>
  <c r="L22" i="36" s="1"/>
  <c r="N22" i="36" s="1"/>
  <c r="M22" i="36" s="1"/>
  <c r="P22" i="36" s="1"/>
  <c r="H23" i="36"/>
  <c r="J23" i="36" s="1"/>
  <c r="L23" i="36" s="1"/>
  <c r="N23" i="36" s="1"/>
  <c r="M23" i="36" s="1"/>
  <c r="P23" i="36" s="1"/>
  <c r="C25" i="35"/>
  <c r="E25" i="35" s="1"/>
  <c r="G25" i="35" s="1"/>
  <c r="U70" i="9"/>
  <c r="D15" i="35"/>
  <c r="F15" i="35" s="1"/>
  <c r="I13" i="36"/>
  <c r="K13" i="36" s="1"/>
  <c r="V30" i="9"/>
  <c r="D17" i="35"/>
  <c r="F17" i="35" s="1"/>
  <c r="I15" i="36"/>
  <c r="K15" i="36" s="1"/>
  <c r="V38" i="9"/>
  <c r="D18" i="35"/>
  <c r="F18" i="35" s="1"/>
  <c r="I16" i="36"/>
  <c r="K16" i="36" s="1"/>
  <c r="V42" i="9"/>
  <c r="D23" i="35"/>
  <c r="F23" i="35" s="1"/>
  <c r="I21" i="36"/>
  <c r="K21" i="36" s="1"/>
  <c r="V62" i="9"/>
  <c r="D25" i="35"/>
  <c r="F25" i="35" s="1"/>
  <c r="I23" i="36"/>
  <c r="K23" i="36" s="1"/>
  <c r="V70" i="9"/>
  <c r="E8" i="31"/>
  <c r="C9" i="36"/>
  <c r="C14" i="9"/>
  <c r="S14" i="9" s="1"/>
  <c r="S15" i="9" s="1"/>
  <c r="S16" i="9" s="1"/>
  <c r="S17" i="9" s="1"/>
  <c r="E10" i="31"/>
  <c r="G9" i="36" s="1"/>
  <c r="E9" i="36"/>
  <c r="C11" i="36"/>
  <c r="C22" i="9"/>
  <c r="S22" i="9" s="1"/>
  <c r="S23" i="9" s="1"/>
  <c r="S24" i="9" s="1"/>
  <c r="S25" i="9" s="1"/>
  <c r="E11" i="36"/>
  <c r="E12" i="31"/>
  <c r="G11" i="36" s="1"/>
  <c r="C14" i="36"/>
  <c r="C34" i="9"/>
  <c r="S34" i="9" s="1"/>
  <c r="S35" i="9" s="1"/>
  <c r="S36" i="9" s="1"/>
  <c r="S37" i="9" s="1"/>
  <c r="E14" i="36"/>
  <c r="E16" i="31"/>
  <c r="G14" i="36" s="1"/>
  <c r="C16" i="36"/>
  <c r="C42" i="9"/>
  <c r="S42" i="9" s="1"/>
  <c r="S43" i="9" s="1"/>
  <c r="S44" i="9" s="1"/>
  <c r="S45" i="9" s="1"/>
  <c r="E18" i="31"/>
  <c r="G16" i="36" s="1"/>
  <c r="E16" i="36"/>
  <c r="E18" i="36"/>
  <c r="E20" i="31"/>
  <c r="G18" i="36" s="1"/>
  <c r="C20" i="36"/>
  <c r="C58" i="9"/>
  <c r="S58" i="9" s="1"/>
  <c r="S59" i="9" s="1"/>
  <c r="S60" i="9" s="1"/>
  <c r="S61" i="9" s="1"/>
  <c r="E20" i="36"/>
  <c r="E22" i="31"/>
  <c r="G20" i="36" s="1"/>
  <c r="C24" i="36"/>
  <c r="C74" i="9"/>
  <c r="S74" i="9" s="1"/>
  <c r="S75" i="9" s="1"/>
  <c r="S76" i="9" s="1"/>
  <c r="S77" i="9" s="1"/>
  <c r="E24" i="36"/>
  <c r="E26" i="31"/>
  <c r="G24" i="36" s="1"/>
  <c r="C23" i="35"/>
  <c r="E23" i="35" s="1"/>
  <c r="G23" i="35" s="1"/>
  <c r="H21" i="36"/>
  <c r="J21" i="36" s="1"/>
  <c r="L21" i="36" s="1"/>
  <c r="N21" i="36" s="1"/>
  <c r="M21" i="36" s="1"/>
  <c r="P21" i="36" s="1"/>
  <c r="U62" i="9"/>
  <c r="C17" i="35"/>
  <c r="E17" i="35" s="1"/>
  <c r="G17" i="35" s="1"/>
  <c r="H15" i="36"/>
  <c r="J15" i="36" s="1"/>
  <c r="L15" i="36" s="1"/>
  <c r="N15" i="36" s="1"/>
  <c r="M15" i="36" s="1"/>
  <c r="P15" i="36" s="1"/>
  <c r="U38" i="9"/>
  <c r="C13" i="35"/>
  <c r="E13" i="35" s="1"/>
  <c r="H12" i="36"/>
  <c r="J12" i="36" s="1"/>
  <c r="U26" i="9"/>
  <c r="C9" i="35"/>
  <c r="E9" i="35" s="1"/>
  <c r="H8" i="36"/>
  <c r="J8" i="36" s="1"/>
  <c r="U10" i="9"/>
  <c r="D10" i="35"/>
  <c r="F10" i="35" s="1"/>
  <c r="I9" i="36"/>
  <c r="K9" i="36" s="1"/>
  <c r="V14" i="9"/>
  <c r="D19" i="35"/>
  <c r="F19" i="35" s="1"/>
  <c r="I17" i="36"/>
  <c r="K17" i="36" s="1"/>
  <c r="V46" i="9"/>
  <c r="D11" i="35"/>
  <c r="F11" i="35" s="1"/>
  <c r="I10" i="36"/>
  <c r="K10" i="36" s="1"/>
  <c r="V18" i="9"/>
  <c r="D22" i="35"/>
  <c r="F22" i="35" s="1"/>
  <c r="I20" i="36"/>
  <c r="K20" i="36" s="1"/>
  <c r="V58" i="9"/>
  <c r="D16" i="35"/>
  <c r="F16" i="35" s="1"/>
  <c r="I14" i="36"/>
  <c r="K14" i="36" s="1"/>
  <c r="V34" i="9"/>
  <c r="D21" i="35"/>
  <c r="F21" i="35" s="1"/>
  <c r="I19" i="36"/>
  <c r="K19" i="36" s="1"/>
  <c r="V54" i="9"/>
  <c r="D13" i="35"/>
  <c r="F13" i="35" s="1"/>
  <c r="I12" i="36"/>
  <c r="K12" i="36" s="1"/>
  <c r="V26" i="9"/>
  <c r="I8" i="36"/>
  <c r="K8" i="36" s="1"/>
  <c r="D9" i="35"/>
  <c r="F9" i="35" s="1"/>
  <c r="V10" i="9"/>
  <c r="D20" i="35"/>
  <c r="F20" i="35" s="1"/>
  <c r="I18" i="36"/>
  <c r="K18" i="36" s="1"/>
  <c r="V50" i="9"/>
  <c r="U50" i="9"/>
  <c r="H18" i="36"/>
  <c r="J18" i="36" s="1"/>
  <c r="L18" i="36" s="1"/>
  <c r="N18" i="36" s="1"/>
  <c r="M18" i="36" s="1"/>
  <c r="P18" i="36" s="1"/>
  <c r="C20" i="35"/>
  <c r="E20" i="35" s="1"/>
  <c r="G20" i="35" s="1"/>
  <c r="U54" i="9"/>
  <c r="H19" i="36"/>
  <c r="J19" i="36" s="1"/>
  <c r="L19" i="36" s="1"/>
  <c r="N19" i="36" s="1"/>
  <c r="M19" i="36" s="1"/>
  <c r="P19" i="36" s="1"/>
  <c r="C21" i="35"/>
  <c r="E21" i="35" s="1"/>
  <c r="G21" i="35" s="1"/>
  <c r="U46" i="9"/>
  <c r="H17" i="36"/>
  <c r="J17" i="36" s="1"/>
  <c r="L17" i="36" s="1"/>
  <c r="N17" i="36" s="1"/>
  <c r="M17" i="36" s="1"/>
  <c r="P17" i="36" s="1"/>
  <c r="C19" i="35"/>
  <c r="E19" i="35" s="1"/>
  <c r="G19" i="35" s="1"/>
  <c r="D7" i="36"/>
  <c r="N7" i="15"/>
  <c r="D7" i="31" s="1"/>
  <c r="D6" i="9"/>
  <c r="T6" i="9" s="1"/>
  <c r="T7" i="9" s="1"/>
  <c r="T8" i="9" s="1"/>
  <c r="T9" i="9" s="1"/>
  <c r="G15" i="35" l="1"/>
  <c r="E15" i="31"/>
  <c r="G13" i="36" s="1"/>
  <c r="C11" i="35"/>
  <c r="E11" i="35" s="1"/>
  <c r="G11" i="35" s="1"/>
  <c r="U18" i="9"/>
  <c r="U30" i="9"/>
  <c r="L12" i="36"/>
  <c r="N12" i="36" s="1"/>
  <c r="M12" i="36" s="1"/>
  <c r="P12" i="36" s="1"/>
  <c r="G13" i="35"/>
  <c r="L10" i="36"/>
  <c r="N10" i="36" s="1"/>
  <c r="M10" i="36" s="1"/>
  <c r="P10" i="36" s="1"/>
  <c r="H13" i="36"/>
  <c r="J13" i="36" s="1"/>
  <c r="L13" i="36" s="1"/>
  <c r="N13" i="36" s="1"/>
  <c r="M13" i="36" s="1"/>
  <c r="P13" i="36" s="1"/>
  <c r="E7" i="35"/>
  <c r="J7" i="36" s="1"/>
  <c r="H7" i="36"/>
  <c r="G9" i="35"/>
  <c r="L8" i="36"/>
  <c r="N8" i="36" s="1"/>
  <c r="M8" i="36" s="1"/>
  <c r="P8" i="36" s="1"/>
  <c r="C10" i="35"/>
  <c r="E10" i="35" s="1"/>
  <c r="G10" i="35" s="1"/>
  <c r="H9" i="36"/>
  <c r="J9" i="36" s="1"/>
  <c r="L9" i="36" s="1"/>
  <c r="N9" i="36" s="1"/>
  <c r="M9" i="36" s="1"/>
  <c r="P9" i="36" s="1"/>
  <c r="U14" i="9"/>
  <c r="C12" i="35"/>
  <c r="E12" i="35" s="1"/>
  <c r="G12" i="35" s="1"/>
  <c r="H11" i="36"/>
  <c r="J11" i="36" s="1"/>
  <c r="L11" i="36" s="1"/>
  <c r="N11" i="36" s="1"/>
  <c r="M11" i="36" s="1"/>
  <c r="P11" i="36" s="1"/>
  <c r="U22" i="9"/>
  <c r="C16" i="35"/>
  <c r="E16" i="35" s="1"/>
  <c r="G16" i="35" s="1"/>
  <c r="H14" i="36"/>
  <c r="J14" i="36" s="1"/>
  <c r="L14" i="36" s="1"/>
  <c r="N14" i="36" s="1"/>
  <c r="M14" i="36" s="1"/>
  <c r="P14" i="36" s="1"/>
  <c r="U34" i="9"/>
  <c r="C18" i="35"/>
  <c r="E18" i="35" s="1"/>
  <c r="G18" i="35" s="1"/>
  <c r="H16" i="36"/>
  <c r="J16" i="36" s="1"/>
  <c r="L16" i="36" s="1"/>
  <c r="N16" i="36" s="1"/>
  <c r="M16" i="36" s="1"/>
  <c r="P16" i="36" s="1"/>
  <c r="U42" i="9"/>
  <c r="C22" i="35"/>
  <c r="E22" i="35" s="1"/>
  <c r="G22" i="35" s="1"/>
  <c r="H20" i="36"/>
  <c r="J20" i="36" s="1"/>
  <c r="L20" i="36" s="1"/>
  <c r="N20" i="36" s="1"/>
  <c r="M20" i="36" s="1"/>
  <c r="P20" i="36" s="1"/>
  <c r="U58" i="9"/>
  <c r="H24" i="36"/>
  <c r="J24" i="36" s="1"/>
  <c r="L24" i="36" s="1"/>
  <c r="N24" i="36" s="1"/>
  <c r="M24" i="36" s="1"/>
  <c r="P24" i="36" s="1"/>
  <c r="C26" i="35"/>
  <c r="E26" i="35" s="1"/>
  <c r="G26" i="35" s="1"/>
  <c r="U74" i="9"/>
  <c r="V6" i="9"/>
  <c r="D7" i="35"/>
  <c r="F7" i="36"/>
  <c r="L9" i="31"/>
  <c r="F9" i="37" s="1"/>
  <c r="J8" i="31"/>
  <c r="D8" i="37" s="1"/>
  <c r="K8" i="31"/>
  <c r="E8" i="37" s="1"/>
  <c r="L11" i="31"/>
  <c r="F11" i="37" s="1"/>
  <c r="I11" i="31"/>
  <c r="C11" i="37" s="1"/>
  <c r="I9" i="31"/>
  <c r="C9" i="37" s="1"/>
  <c r="K11" i="31"/>
  <c r="E11" i="37" s="1"/>
  <c r="L10" i="31"/>
  <c r="F10" i="37" s="1"/>
  <c r="L8" i="31"/>
  <c r="F8" i="37" s="1"/>
  <c r="K7" i="31"/>
  <c r="E7" i="37" s="1"/>
  <c r="I8" i="31"/>
  <c r="C8" i="37" s="1"/>
  <c r="M7" i="31"/>
  <c r="G7" i="37" s="1"/>
  <c r="J10" i="31"/>
  <c r="D10" i="37" s="1"/>
  <c r="K10" i="31"/>
  <c r="E10" i="37" s="1"/>
  <c r="J11" i="31"/>
  <c r="D11" i="37" s="1"/>
  <c r="I10" i="31"/>
  <c r="C10" i="37" s="1"/>
  <c r="L7" i="31"/>
  <c r="F7" i="37" s="1"/>
  <c r="M10" i="31"/>
  <c r="G10" i="37" s="1"/>
  <c r="M8" i="31"/>
  <c r="G8" i="37" s="1"/>
  <c r="J9" i="31"/>
  <c r="D9" i="37" s="1"/>
  <c r="M11" i="31"/>
  <c r="G11" i="37" s="1"/>
  <c r="J7" i="31"/>
  <c r="D7" i="37" s="1"/>
  <c r="I7" i="31"/>
  <c r="C7" i="37" s="1"/>
  <c r="K9" i="31"/>
  <c r="E9" i="37" s="1"/>
  <c r="M9" i="31"/>
  <c r="G9" i="37" s="1"/>
  <c r="E7" i="31"/>
  <c r="G7" i="36" s="1"/>
  <c r="B13" i="33" l="1"/>
  <c r="B12" i="33"/>
  <c r="B15" i="33"/>
  <c r="B14" i="33"/>
  <c r="I7" i="36"/>
  <c r="F7" i="35"/>
  <c r="K7" i="36" l="1"/>
  <c r="G7" i="35"/>
  <c r="L7" i="36" s="1"/>
  <c r="L11" i="35"/>
  <c r="L11" i="37" s="1"/>
  <c r="K8" i="35"/>
  <c r="K8" i="37" s="1"/>
  <c r="M10" i="35"/>
  <c r="M10" i="37" s="1"/>
  <c r="N10" i="35"/>
  <c r="N10" i="37" s="1"/>
  <c r="O7" i="35"/>
  <c r="O7" i="37" s="1"/>
  <c r="M7" i="35"/>
  <c r="M7" i="37" s="1"/>
  <c r="N8" i="35"/>
  <c r="N8" i="37" s="1"/>
  <c r="K11" i="35"/>
  <c r="K11" i="37" s="1"/>
  <c r="K10" i="35"/>
  <c r="K10" i="37" s="1"/>
  <c r="L9" i="35"/>
  <c r="L9" i="37" s="1"/>
  <c r="M11" i="35"/>
  <c r="M11" i="37" s="1"/>
  <c r="N11" i="35"/>
  <c r="N11" i="37" s="1"/>
  <c r="K7" i="35"/>
  <c r="K7" i="37" s="1"/>
  <c r="O8" i="35"/>
  <c r="O8" i="37" s="1"/>
  <c r="N7" i="35"/>
  <c r="N7" i="37" s="1"/>
  <c r="L10" i="35"/>
  <c r="L10" i="37" s="1"/>
  <c r="N9" i="35"/>
  <c r="N9" i="37" s="1"/>
  <c r="M8" i="35"/>
  <c r="M8" i="37" s="1"/>
  <c r="O11" i="35"/>
  <c r="O11" i="37" s="1"/>
  <c r="K9" i="35"/>
  <c r="K9" i="37" s="1"/>
  <c r="O10" i="35"/>
  <c r="O10" i="37" s="1"/>
  <c r="L7" i="35"/>
  <c r="L7" i="37" s="1"/>
  <c r="O9" i="35"/>
  <c r="O9" i="37" s="1"/>
  <c r="L8" i="35"/>
  <c r="L8" i="37" s="1"/>
  <c r="M9" i="35"/>
  <c r="M9" i="37" s="1"/>
  <c r="B16" i="33"/>
  <c r="C16" i="33" l="1"/>
  <c r="C13" i="33"/>
  <c r="B19" i="33"/>
  <c r="C15" i="33"/>
  <c r="C12" i="33"/>
  <c r="C14" i="33"/>
  <c r="D14" i="33"/>
  <c r="D12" i="33"/>
  <c r="D15" i="33"/>
  <c r="N7" i="36"/>
  <c r="M7" i="36" s="1"/>
  <c r="P7" i="36" s="1"/>
  <c r="D13" i="33"/>
  <c r="D16" i="33" l="1"/>
  <c r="E16" i="33" s="1"/>
  <c r="E14" i="33" l="1"/>
  <c r="D19" i="33"/>
  <c r="E12" i="33"/>
  <c r="E15" i="33"/>
  <c r="E13" i="33"/>
</calcChain>
</file>

<file path=xl/sharedStrings.xml><?xml version="1.0" encoding="utf-8"?>
<sst xmlns="http://schemas.openxmlformats.org/spreadsheetml/2006/main" count="847" uniqueCount="331">
  <si>
    <t>No. DEL RIESGO</t>
  </si>
  <si>
    <t>RIESGO</t>
  </si>
  <si>
    <t>PROBABILIDAD</t>
  </si>
  <si>
    <t>Frecuencia</t>
  </si>
  <si>
    <t>IMPACTO</t>
  </si>
  <si>
    <t>Moderado</t>
  </si>
  <si>
    <t>Mayor</t>
  </si>
  <si>
    <t>Menor</t>
  </si>
  <si>
    <t>TIPO</t>
  </si>
  <si>
    <t>Probabilidad Residual</t>
  </si>
  <si>
    <t>Impacto Residual</t>
  </si>
  <si>
    <t>R2</t>
  </si>
  <si>
    <t>R3</t>
  </si>
  <si>
    <t>R4</t>
  </si>
  <si>
    <t>R5</t>
  </si>
  <si>
    <t>R6</t>
  </si>
  <si>
    <t>R7</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</si>
  <si>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</si>
  <si>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</si>
  <si>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</si>
  <si>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</si>
  <si>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</si>
  <si>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</si>
  <si>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</si>
  <si>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</si>
  <si>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</si>
  <si>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</si>
  <si>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</si>
  <si>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</si>
  <si>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</si>
  <si>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</si>
  <si>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</si>
  <si>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</si>
  <si>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</si>
  <si>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</si>
  <si>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</si>
  <si>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</si>
  <si>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</si>
  <si>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</si>
  <si>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</si>
  <si>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</si>
  <si>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</si>
  <si>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</si>
  <si>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</si>
  <si>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</si>
  <si>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</si>
  <si>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</si>
  <si>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</si>
  <si>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</si>
  <si>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</si>
  <si>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</si>
  <si>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</si>
  <si>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</si>
  <si>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</si>
  <si>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</si>
  <si>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</si>
  <si>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</si>
  <si>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</si>
  <si>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</si>
  <si>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</si>
  <si>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</si>
  <si>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</si>
  <si>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</si>
  <si>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</si>
  <si>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</si>
  <si>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</si>
  <si>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</si>
  <si>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</si>
  <si>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</si>
  <si>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</si>
  <si>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</si>
  <si>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</si>
  <si>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</si>
  <si>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</si>
  <si>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</si>
  <si>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</si>
  <si>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</si>
  <si>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</si>
  <si>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</si>
  <si>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</si>
  <si>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</si>
  <si>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</si>
  <si>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</si>
  <si>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</si>
  <si>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</si>
  <si>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</si>
  <si>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</si>
  <si>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</si>
  <si>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</si>
  <si>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</si>
  <si>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</si>
  <si>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</si>
  <si>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</si>
  <si>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</si>
  <si>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</si>
  <si>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</si>
  <si>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</si>
  <si>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</si>
  <si>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</si>
  <si>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</si>
  <si>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</si>
  <si>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</si>
  <si>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</si>
  <si>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</si>
  <si>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</si>
  <si>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Al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</si>
  <si>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</si>
  <si>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</si>
  <si>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</si>
  <si>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</si>
  <si>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</si>
  <si>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</si>
  <si>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</si>
  <si>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</si>
  <si>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</si>
  <si>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</si>
  <si>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</si>
  <si>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</si>
  <si>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</si>
  <si>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</si>
  <si>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</si>
  <si>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</si>
  <si>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</si>
  <si>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</si>
  <si>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</si>
  <si>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</si>
  <si>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</si>
  <si>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</si>
  <si>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</si>
  <si>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</si>
  <si>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</si>
  <si>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</si>
  <si>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</si>
  <si>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</si>
  <si>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</si>
  <si>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</si>
  <si>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</si>
  <si>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</si>
  <si>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</si>
  <si>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</si>
  <si>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</si>
  <si>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</si>
  <si>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</si>
  <si>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</si>
  <si>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</si>
  <si>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</si>
  <si>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</si>
  <si>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</si>
  <si>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</si>
  <si>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</si>
  <si>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</si>
  <si>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</si>
  <si>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</si>
  <si>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</si>
  <si>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</si>
  <si>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</si>
  <si>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</si>
  <si>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</si>
  <si>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</si>
  <si>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</si>
  <si>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</si>
  <si>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</si>
  <si>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</si>
  <si>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</si>
  <si>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</si>
  <si>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</si>
  <si>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</si>
  <si>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</si>
  <si>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</si>
  <si>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</si>
  <si>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</si>
  <si>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</si>
  <si>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</si>
  <si>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</si>
  <si>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</si>
  <si>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</si>
  <si>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</si>
  <si>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</si>
  <si>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</si>
  <si>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</si>
  <si>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</si>
  <si>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</si>
  <si>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</si>
  <si>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</si>
  <si>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</si>
  <si>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</si>
  <si>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</si>
  <si>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</si>
  <si>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</si>
  <si>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</si>
  <si>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</si>
  <si>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</si>
  <si>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</si>
  <si>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</si>
  <si>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</si>
  <si>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</si>
  <si>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</si>
  <si>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</si>
  <si>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</si>
  <si>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</si>
  <si>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</si>
  <si>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</si>
  <si>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</si>
  <si>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</si>
  <si>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</si>
  <si>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</si>
  <si>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</si>
  <si>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</si>
  <si>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</si>
  <si>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</si>
  <si>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</si>
  <si>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</si>
  <si>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</si>
  <si>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</si>
  <si>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</si>
  <si>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</si>
  <si>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</si>
  <si>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</si>
  <si>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</si>
  <si>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</si>
  <si>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</si>
  <si>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</si>
  <si>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</si>
  <si>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</si>
  <si>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</si>
  <si>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</si>
  <si>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</si>
  <si>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</si>
  <si>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</si>
  <si>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</si>
  <si>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</si>
  <si>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</si>
  <si>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</si>
  <si>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</si>
  <si>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</si>
  <si>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</si>
  <si>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</si>
  <si>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</si>
  <si>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</si>
  <si>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</si>
  <si>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</si>
  <si>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</si>
  <si>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</si>
  <si>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</si>
  <si>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</si>
  <si>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</si>
  <si>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</si>
  <si>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</si>
  <si>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</si>
  <si>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</si>
  <si>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</si>
  <si>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</si>
  <si>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</si>
  <si>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</si>
  <si>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</si>
  <si>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</si>
  <si>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</si>
  <si>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</si>
  <si>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</si>
  <si>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</si>
  <si>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</si>
  <si>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</si>
  <si>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</si>
  <si>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</si>
  <si>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</si>
  <si>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</si>
  <si>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</si>
  <si>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Redicir_Transferir</t>
  </si>
  <si>
    <t>Reducir_mitigar_Transferir_Evitar</t>
  </si>
  <si>
    <t>Esta hoja se utiliza para realizar cálculos en las demás, en ella no se ingresan datos</t>
  </si>
  <si>
    <t xml:space="preserve">Determine el tratamiento a seguir 
</t>
  </si>
  <si>
    <t>cuando se requiera</t>
  </si>
  <si>
    <t>tomar decisiones operativas</t>
  </si>
  <si>
    <t>de manera diairia</t>
  </si>
  <si>
    <t>de manera diaria</t>
  </si>
  <si>
    <t>R1</t>
  </si>
  <si>
    <t>por la atención inoportuna de las solicitudes de reparación de alcantarillado</t>
  </si>
  <si>
    <t>debido a la falta de seguimiento a las ordenes de trabajo generadas, falta de personal operativo para los grupos de trabajo y falta de asignación de recursos o de disponibilidad de materiales.</t>
  </si>
  <si>
    <t>por la falta de atención a las afectaciones generadas por actividades de alcantarillado</t>
  </si>
  <si>
    <t>asignar las prioridades de intervención del taponamiento o fuga identificada</t>
  </si>
  <si>
    <t>el profesional universitario UCO es el encargado de</t>
  </si>
  <si>
    <t>recepcionar y asignar ordenes de trabajo</t>
  </si>
  <si>
    <t>el inspector de alcantarillado es el encargado de</t>
  </si>
  <si>
    <t xml:space="preserve">ejecutar la atención de las ordenes de trabajo </t>
  </si>
  <si>
    <t>recepcionar, asignar y cerrar las ordenes de trabajo</t>
  </si>
  <si>
    <t>debido a que la parametrización del software permite el cierre de ordenes de trabajo con actividades pendientes.</t>
  </si>
  <si>
    <t xml:space="preserve">el Subgerente Técnico que es el encargado de </t>
  </si>
  <si>
    <t>ejecutar la acción de corrección del taponamiento o de la fuga</t>
  </si>
  <si>
    <t xml:space="preserve">el Subgerente Técnico y Operativo es el encargado de </t>
  </si>
  <si>
    <t>controlar la ejecución de las ordenes de trabajo</t>
  </si>
  <si>
    <t>el Director Técnico es el encargado de</t>
  </si>
  <si>
    <t xml:space="preserve">el Director tecnico que es el encargado de </t>
  </si>
  <si>
    <t xml:space="preserve">el Inspector es el encargado de </t>
  </si>
  <si>
    <t xml:space="preserve">el Subgerente tecnico y operativo es el encargado de </t>
  </si>
  <si>
    <t>el Profesional universitario UCO es el encargado de</t>
  </si>
  <si>
    <t>hacer seguimiento a la ejecución de la actividades</t>
  </si>
  <si>
    <t>por contaminación ambiental a causa de las descargas de aguas residuales</t>
  </si>
  <si>
    <t>debido a la falta de seguimiento y control a los vertimientos realizados por usuarios diferentes al residencial que hacen uso del alcantarillado público y a la infraestructura de las redes de alcantarillado en condiciones inadecuadas.</t>
  </si>
  <si>
    <t xml:space="preserve">GESTIÓN DE SERVICIOS PUBLICOS </t>
  </si>
  <si>
    <t>Se realizó seguimiento a los vertimientos de usuarios no residenciales y al estado de la infraestructura de alcantarillado mediante actividades de inspección y control.</t>
  </si>
  <si>
    <t xml:space="preserve">Se realizó seguimiento periódico a las órdenes de trabajo generadas para reparación de alcantarillado, verificando su ejecución dentro de los tiempos establecidos. Durante el período no se evidenció materialización del riesgo derivada de las causas identificadas. </t>
  </si>
  <si>
    <t>No se identificaron afectaciones derivadas del cierre de órdenes con actividades pendientes ni se materializó el riesgo.</t>
  </si>
  <si>
    <t xml:space="preserve">Por la captacion del caudal de las plantas de tratamiento  de los municipios  por encima del lt/s consecionados </t>
  </si>
  <si>
    <t>Debido a la falta de medicion en el sistema de las bocatomas</t>
  </si>
  <si>
    <t>por condiciones de calidad de agua cruda que no permite tratabilidad y afectaciones de tipo climático</t>
  </si>
  <si>
    <t>debido a crecientes que generan arrastre de solidos y elevacion en los niveles de turbierdad en agua cruda</t>
  </si>
  <si>
    <t xml:space="preserve">por el aumento en el índice de agua no contabilizada por pérdidas técnicas </t>
  </si>
  <si>
    <t>debido a la infraestructura de produccion ,almacenameinto y distribucion en condiciones inadecuadas,  y la reparación inoportuna de fugas y daños en las redes de acueducto.</t>
  </si>
  <si>
    <t>por la atención inoportuna de las solicitudes de reparación de acueducto</t>
  </si>
  <si>
    <t>el Inspector de acueducto es el encargado de</t>
  </si>
  <si>
    <t xml:space="preserve">el Gerente es el encargado de </t>
  </si>
  <si>
    <t>asignación de recursos para contratación de personal</t>
  </si>
  <si>
    <t xml:space="preserve">el Subgerente Técnico es el encargado de </t>
  </si>
  <si>
    <t>tomar decisiones administrativas</t>
  </si>
  <si>
    <t>recepción y asignación de ordenes de trabajo</t>
  </si>
  <si>
    <t>los Inspectores de acueducto son los encargados de</t>
  </si>
  <si>
    <t>ejecutar las ordenes de trabajo</t>
  </si>
  <si>
    <t>tomar decisiones operativas cuando hay cambios climaticos para mantener el caudal de entrada</t>
  </si>
  <si>
    <t>el  Director Técnico es el encargado de</t>
  </si>
  <si>
    <t>coordinar las operaciones de las bocatomas y plantas de tratamiento de agua potable</t>
  </si>
  <si>
    <t>asignar recursos</t>
  </si>
  <si>
    <t>anualmente</t>
  </si>
  <si>
    <t>el Subgerente técnico y operativo es el encargado de</t>
  </si>
  <si>
    <t xml:space="preserve">gestionar la adquisición de los equipos de medición </t>
  </si>
  <si>
    <t xml:space="preserve">el Profesional de apoyo a plantas es el encargado de </t>
  </si>
  <si>
    <t>identificar las necesidades</t>
  </si>
  <si>
    <t>|</t>
  </si>
  <si>
    <t>Se realizó seguimiento a las captaciones de agua y se verificó el cumplimiento de los caudales concesionados en las plantas de tratamiento priorizadas.</t>
  </si>
  <si>
    <t>Se efectuó monitoreo continuo de los parámetros de calidad del agua cruda y se aplicaron los protocolos operativos establecidos durante eventos de incremento de turbiedad.</t>
  </si>
  <si>
    <t>Se realizaron actividades de seguimiento a pérdidas técnicas y atención de daños reportados en la red. Se continúa con las acciones de mantenimiento preventivo y correctivo para disminuir el índice de agua no contabilizada.</t>
  </si>
  <si>
    <t>Se efectuó seguimiento a las órdenes de trabajo generadas para la atención de daños y reparaciones en la red de acueducto. La atención se desarrolló conforme a la capacidad operativa disponible.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</si>
</sst>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524">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14" fontId="6"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32" fillId="2" borderId="1" xfId="2" applyFont="1" applyFill="1" applyBorder="1" applyAlignment="1">
      <alignment horizontal="righ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3" fontId="6" fillId="4" borderId="3" xfId="2" applyNumberFormat="1"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2" applyFont="1" applyBorder="1" applyAlignment="1">
      <alignment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0" borderId="4" xfId="2" applyBorder="1" applyAlignment="1">
      <alignment horizontal="justify" vertical="center" wrapText="1"/>
    </xf>
    <xf numFmtId="0" fontId="2" fillId="4" borderId="4" xfId="2"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4" fillId="4" borderId="1"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4" fillId="4" borderId="4" xfId="2" applyFont="1" applyFill="1" applyBorder="1" applyAlignment="1" applyProtection="1">
      <alignment horizontal="center" vertical="center" wrapText="1"/>
      <protection locked="0"/>
    </xf>
    <xf numFmtId="0" fontId="4" fillId="4" borderId="1" xfId="2" applyFont="1" applyFill="1" applyBorder="1" applyAlignment="1" applyProtection="1">
      <alignment horizontal="center" vertical="center" wrapText="1"/>
      <protection locked="0"/>
    </xf>
    <xf numFmtId="0" fontId="3" fillId="0" borderId="0" xfId="2" applyFont="1" applyAlignment="1">
      <alignment horizontal="center" vertical="center" wrapText="1"/>
    </xf>
    <xf numFmtId="0" fontId="4" fillId="4" borderId="28" xfId="2" applyFont="1" applyFill="1" applyBorder="1" applyAlignment="1" applyProtection="1">
      <alignment horizontal="center" vertical="center" wrapText="1"/>
      <protection locked="0"/>
    </xf>
    <xf numFmtId="0" fontId="6" fillId="5" borderId="0" xfId="2" applyFont="1" applyFill="1" applyAlignment="1">
      <alignment horizontal="center" vertical="center" wrapText="1"/>
    </xf>
    <xf numFmtId="0" fontId="2" fillId="0" borderId="1" xfId="2"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wrapText="1"/>
    </xf>
    <xf numFmtId="0" fontId="2" fillId="0" borderId="18" xfId="2" applyBorder="1" applyAlignment="1">
      <alignment horizontal="center" vertical="center" wrapText="1"/>
    </xf>
    <xf numFmtId="0" fontId="2" fillId="0" borderId="17" xfId="2" applyBorder="1" applyAlignment="1">
      <alignment horizontal="center" vertical="center" wrapText="1"/>
    </xf>
    <xf numFmtId="0" fontId="2" fillId="0" borderId="15" xfId="2" applyBorder="1" applyAlignment="1">
      <alignment horizontal="center" vertical="center" wrapText="1"/>
    </xf>
    <xf numFmtId="0" fontId="25" fillId="0" borderId="0" xfId="2" applyFont="1" applyAlignment="1">
      <alignment horizontal="center" vertical="center" wrapText="1"/>
    </xf>
    <xf numFmtId="0" fontId="26" fillId="0" borderId="1" xfId="0" applyFont="1" applyBorder="1" applyAlignment="1">
      <alignment horizontal="center" vertical="center" wrapText="1"/>
    </xf>
    <xf numFmtId="0" fontId="26" fillId="0" borderId="2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6" xfId="0" applyFont="1" applyBorder="1" applyAlignment="1">
      <alignment horizontal="center" vertical="center" wrapText="1"/>
    </xf>
    <xf numFmtId="0" fontId="28" fillId="10" borderId="1" xfId="0" applyFont="1" applyFill="1" applyBorder="1" applyAlignment="1">
      <alignment horizontal="center" vertical="center" wrapText="1"/>
    </xf>
    <xf numFmtId="0" fontId="2" fillId="8" borderId="26"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29" fillId="0" borderId="0" xfId="3" applyFont="1" applyAlignment="1">
      <alignment horizontal="center" vertical="center" textRotation="90" wrapText="1"/>
    </xf>
    <xf numFmtId="0" fontId="28" fillId="7" borderId="1" xfId="0" applyFont="1" applyFill="1" applyBorder="1" applyAlignment="1">
      <alignment horizontal="center" vertical="center" wrapText="1"/>
    </xf>
    <xf numFmtId="0" fontId="26" fillId="0" borderId="28" xfId="0" applyFont="1" applyBorder="1" applyAlignment="1">
      <alignment horizontal="center" vertical="center" wrapText="1"/>
    </xf>
    <xf numFmtId="0" fontId="28" fillId="7" borderId="28" xfId="0" applyFont="1" applyFill="1" applyBorder="1" applyAlignment="1">
      <alignment horizontal="center" vertical="center" wrapText="1"/>
    </xf>
    <xf numFmtId="0" fontId="28" fillId="11" borderId="28" xfId="0" applyFont="1" applyFill="1" applyBorder="1" applyAlignment="1">
      <alignment horizontal="center" vertical="center" wrapText="1"/>
    </xf>
    <xf numFmtId="0" fontId="28" fillId="10" borderId="28"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8" borderId="1" xfId="0" applyFont="1" applyFill="1" applyBorder="1" applyAlignment="1">
      <alignment horizontal="center" vertical="center" wrapText="1"/>
    </xf>
    <xf numFmtId="0" fontId="25" fillId="0" borderId="0" xfId="0" applyFont="1" applyAlignment="1">
      <alignment horizontal="center" vertical="center"/>
    </xf>
    <xf numFmtId="0" fontId="2" fillId="0" borderId="0" xfId="0" applyFont="1" applyAlignment="1">
      <alignment horizontal="center" vertical="center"/>
    </xf>
    <xf numFmtId="0" fontId="2" fillId="0" borderId="0" xfId="3" applyFont="1" applyAlignment="1">
      <alignment horizontal="center" vertical="center"/>
    </xf>
    <xf numFmtId="0" fontId="2" fillId="2" borderId="18" xfId="2" applyFill="1" applyBorder="1" applyAlignment="1">
      <alignment horizontal="center" vertical="center"/>
    </xf>
    <xf numFmtId="0" fontId="2" fillId="2" borderId="17" xfId="2" applyFill="1" applyBorder="1" applyAlignment="1">
      <alignment horizontal="center" vertical="center"/>
    </xf>
    <xf numFmtId="0" fontId="31" fillId="0" borderId="0" xfId="3" applyFont="1" applyAlignment="1">
      <alignment horizontal="center" vertical="center"/>
    </xf>
    <xf numFmtId="0" fontId="2" fillId="4" borderId="1" xfId="2" applyFill="1" applyBorder="1" applyAlignment="1" applyProtection="1">
      <alignment horizontal="center" vertical="center" wrapText="1"/>
      <protection locked="0"/>
    </xf>
    <xf numFmtId="0" fontId="4" fillId="0" borderId="28" xfId="2" applyFont="1" applyBorder="1" applyAlignment="1">
      <alignment horizontal="center" vertical="center" wrapText="1"/>
    </xf>
    <xf numFmtId="0" fontId="2" fillId="0" borderId="4" xfId="2" applyBorder="1" applyAlignment="1">
      <alignment horizontal="center" vertical="center" wrapText="1"/>
    </xf>
    <xf numFmtId="0" fontId="2" fillId="4" borderId="4" xfId="2" applyFill="1" applyBorder="1" applyAlignment="1" applyProtection="1">
      <alignment horizontal="center" vertical="center" wrapText="1"/>
      <protection locked="0"/>
    </xf>
    <xf numFmtId="14" fontId="2" fillId="4" borderId="4" xfId="2" applyNumberFormat="1" applyFill="1" applyBorder="1" applyAlignment="1" applyProtection="1">
      <alignment horizontal="center" vertical="center" wrapText="1"/>
      <protection locked="0"/>
    </xf>
    <xf numFmtId="0" fontId="22" fillId="4" borderId="0" xfId="0" applyFont="1" applyFill="1" applyAlignment="1">
      <alignment horizontal="justify" vertical="center" wrapText="1"/>
    </xf>
    <xf numFmtId="0" fontId="22" fillId="4" borderId="6" xfId="0" applyFont="1" applyFill="1" applyBorder="1" applyAlignment="1">
      <alignment horizontal="justify" vertical="center" wrapText="1"/>
    </xf>
    <xf numFmtId="0" fontId="22" fillId="4" borderId="1" xfId="0" applyFont="1" applyFill="1" applyBorder="1" applyAlignment="1">
      <alignment horizontal="justify" vertical="center" wrapText="1"/>
    </xf>
    <xf numFmtId="0" fontId="2" fillId="4" borderId="4" xfId="2" applyFill="1" applyBorder="1" applyAlignment="1" applyProtection="1">
      <alignment horizontal="left" vertical="center" wrapText="1"/>
      <protection locked="0"/>
    </xf>
    <xf numFmtId="0" fontId="2" fillId="4" borderId="1" xfId="2" applyFill="1" applyBorder="1" applyAlignment="1" applyProtection="1">
      <alignment horizontal="left" vertical="center" wrapText="1"/>
      <protection locked="0"/>
    </xf>
    <xf numFmtId="0" fontId="7" fillId="0" borderId="0" xfId="2" applyFont="1" applyAlignment="1">
      <alignment horizontal="left" vertical="center"/>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43" fillId="5" borderId="59" xfId="0" applyFont="1" applyFill="1" applyBorder="1" applyAlignment="1">
      <alignment horizontal="left" vertical="center"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56" xfId="0" applyFont="1" applyFill="1" applyBorder="1" applyAlignment="1">
      <alignment horizontal="left" vertical="center" wrapText="1"/>
    </xf>
    <xf numFmtId="0" fontId="43" fillId="5" borderId="70"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6" fillId="5" borderId="1" xfId="2" applyFont="1" applyFill="1" applyBorder="1" applyAlignment="1">
      <alignment horizontal="center" vertical="center" wrapText="1"/>
    </xf>
    <xf numFmtId="0" fontId="6" fillId="5" borderId="0" xfId="2" applyFont="1" applyFill="1" applyAlignment="1">
      <alignment horizontal="center" vertical="center" wrapText="1"/>
    </xf>
    <xf numFmtId="0" fontId="15" fillId="0" borderId="1" xfId="2"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2" borderId="21" xfId="2" applyFont="1" applyFill="1" applyBorder="1" applyAlignment="1">
      <alignment horizontal="center" vertical="center"/>
    </xf>
    <xf numFmtId="0" fontId="15" fillId="2" borderId="22" xfId="2" applyFont="1" applyFill="1" applyBorder="1" applyAlignment="1">
      <alignment horizontal="center" vertical="center"/>
    </xf>
    <xf numFmtId="0" fontId="15" fillId="2" borderId="23" xfId="2" applyFont="1" applyFill="1" applyBorder="1" applyAlignment="1">
      <alignment horizontal="center" vertical="center"/>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190">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77</xdr:row>
      <xdr:rowOff>0</xdr:rowOff>
    </xdr:from>
    <xdr:to>
      <xdr:col>4</xdr:col>
      <xdr:colOff>90438</xdr:colOff>
      <xdr:row>82</xdr:row>
      <xdr:rowOff>41459</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9</xdr:row>
      <xdr:rowOff>455656</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77</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77</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77</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xdr:row>
      <xdr:rowOff>0</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27</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51</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51</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xdr:row>
      <xdr:rowOff>0</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29</xdr:row>
      <xdr:rowOff>0</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29</xdr:row>
      <xdr:rowOff>0</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29</xdr:row>
      <xdr:rowOff>0</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29</xdr:row>
      <xdr:rowOff>0</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238127</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x14ac:dyDescent="0.25"/>
  <cols>
    <col min="1" max="1" width="2.85546875" style="252" customWidth="1"/>
    <col min="2" max="3" width="24.7109375" style="252" customWidth="1"/>
    <col min="4" max="4" width="16" style="252" customWidth="1"/>
    <col min="5" max="5" width="24.7109375" style="252" customWidth="1"/>
    <col min="6" max="6" width="27.7109375" style="252" customWidth="1"/>
    <col min="7" max="8" width="24.7109375" style="252" customWidth="1"/>
    <col min="9" max="16384" width="11.42578125" style="252"/>
  </cols>
  <sheetData>
    <row r="1" spans="2:8" ht="15.75" thickBot="1" x14ac:dyDescent="0.3"/>
    <row r="2" spans="2:8" ht="18" x14ac:dyDescent="0.25">
      <c r="B2" s="410" t="s">
        <v>173</v>
      </c>
      <c r="C2" s="411"/>
      <c r="D2" s="411"/>
      <c r="E2" s="411"/>
      <c r="F2" s="411"/>
      <c r="G2" s="411"/>
      <c r="H2" s="412"/>
    </row>
    <row r="3" spans="2:8" x14ac:dyDescent="0.25">
      <c r="B3" s="253"/>
      <c r="C3" s="254"/>
      <c r="D3" s="254"/>
      <c r="E3" s="254"/>
      <c r="F3" s="254"/>
      <c r="G3" s="254"/>
      <c r="H3" s="255"/>
    </row>
    <row r="4" spans="2:8" ht="63" customHeight="1" x14ac:dyDescent="0.25">
      <c r="B4" s="413" t="s">
        <v>183</v>
      </c>
      <c r="C4" s="414"/>
      <c r="D4" s="414"/>
      <c r="E4" s="414"/>
      <c r="F4" s="414"/>
      <c r="G4" s="414"/>
      <c r="H4" s="415"/>
    </row>
    <row r="5" spans="2:8" ht="63" customHeight="1" x14ac:dyDescent="0.25">
      <c r="B5" s="416"/>
      <c r="C5" s="417"/>
      <c r="D5" s="417"/>
      <c r="E5" s="417"/>
      <c r="F5" s="417"/>
      <c r="G5" s="417"/>
      <c r="H5" s="418"/>
    </row>
    <row r="6" spans="2:8" ht="16.5" x14ac:dyDescent="0.25">
      <c r="B6" s="403" t="s">
        <v>174</v>
      </c>
      <c r="C6" s="419"/>
      <c r="D6" s="419"/>
      <c r="E6" s="419"/>
      <c r="F6" s="419"/>
      <c r="G6" s="419"/>
      <c r="H6" s="420"/>
    </row>
    <row r="7" spans="2:8" ht="95.25" customHeight="1" x14ac:dyDescent="0.25">
      <c r="B7" s="421" t="s">
        <v>184</v>
      </c>
      <c r="C7" s="422"/>
      <c r="D7" s="422"/>
      <c r="E7" s="422"/>
      <c r="F7" s="422"/>
      <c r="G7" s="422"/>
      <c r="H7" s="423"/>
    </row>
    <row r="8" spans="2:8" ht="16.5" x14ac:dyDescent="0.25">
      <c r="B8" s="232"/>
      <c r="C8" s="233"/>
      <c r="D8" s="233"/>
      <c r="E8" s="233"/>
      <c r="F8" s="233"/>
      <c r="G8" s="233"/>
      <c r="H8" s="234"/>
    </row>
    <row r="9" spans="2:8" ht="20.45" customHeight="1" x14ac:dyDescent="0.25">
      <c r="B9" s="425" t="s">
        <v>200</v>
      </c>
      <c r="C9" s="426"/>
      <c r="D9" s="426"/>
      <c r="E9" s="426"/>
      <c r="F9" s="426"/>
      <c r="G9" s="426"/>
      <c r="H9" s="427"/>
    </row>
    <row r="10" spans="2:8" ht="16.5" x14ac:dyDescent="0.25">
      <c r="B10" s="238"/>
      <c r="C10" s="239"/>
      <c r="D10" s="239"/>
      <c r="E10" s="239"/>
      <c r="F10" s="239"/>
      <c r="G10" s="239"/>
      <c r="H10" s="240"/>
    </row>
    <row r="11" spans="2:8" ht="20.45" customHeight="1" x14ac:dyDescent="0.25">
      <c r="B11" s="428" t="s">
        <v>201</v>
      </c>
      <c r="C11" s="429"/>
      <c r="D11" s="429"/>
      <c r="E11" s="429"/>
      <c r="F11" s="429"/>
      <c r="G11" s="429"/>
      <c r="H11" s="430"/>
    </row>
    <row r="12" spans="2:8" s="277" customFormat="1" ht="20.45" customHeight="1" x14ac:dyDescent="0.25">
      <c r="B12" s="274"/>
      <c r="C12" s="275"/>
      <c r="D12" s="275"/>
      <c r="E12" s="275"/>
      <c r="F12" s="275"/>
      <c r="G12" s="275"/>
      <c r="H12" s="276"/>
    </row>
    <row r="13" spans="2:8" ht="20.45" customHeight="1" x14ac:dyDescent="0.25">
      <c r="B13" s="403" t="s">
        <v>198</v>
      </c>
      <c r="C13" s="404"/>
      <c r="D13" s="404"/>
      <c r="E13" s="404"/>
      <c r="F13" s="404"/>
      <c r="G13" s="404"/>
      <c r="H13" s="405"/>
    </row>
    <row r="14" spans="2:8" ht="9" customHeight="1" x14ac:dyDescent="0.25">
      <c r="B14" s="403"/>
      <c r="C14" s="404"/>
      <c r="D14" s="404"/>
      <c r="E14" s="404"/>
      <c r="F14" s="404"/>
      <c r="G14" s="404"/>
      <c r="H14" s="405"/>
    </row>
    <row r="15" spans="2:8" ht="16.5" x14ac:dyDescent="0.25">
      <c r="B15" s="403" t="s">
        <v>197</v>
      </c>
      <c r="C15" s="404"/>
      <c r="D15" s="404"/>
      <c r="E15" s="404"/>
      <c r="F15" s="404"/>
      <c r="G15" s="404"/>
      <c r="H15" s="405"/>
    </row>
    <row r="16" spans="2:8" ht="16.5" x14ac:dyDescent="0.25">
      <c r="B16" s="235"/>
      <c r="C16" s="236"/>
      <c r="D16" s="236"/>
      <c r="E16" s="236"/>
      <c r="F16" s="236"/>
      <c r="G16" s="236"/>
      <c r="H16" s="237"/>
    </row>
    <row r="17" spans="2:8" ht="18.600000000000001" customHeight="1" x14ac:dyDescent="0.25">
      <c r="B17" s="403" t="s">
        <v>199</v>
      </c>
      <c r="C17" s="404"/>
      <c r="D17" s="404"/>
      <c r="E17" s="404"/>
      <c r="F17" s="404"/>
      <c r="G17" s="404"/>
      <c r="H17" s="405"/>
    </row>
    <row r="18" spans="2:8" ht="18.600000000000001" customHeight="1" x14ac:dyDescent="0.25">
      <c r="B18" s="235"/>
      <c r="C18" s="236"/>
      <c r="D18" s="236"/>
      <c r="E18" s="236"/>
      <c r="F18" s="236"/>
      <c r="G18" s="236"/>
      <c r="H18" s="237"/>
    </row>
    <row r="19" spans="2:8" ht="18.600000000000001" customHeight="1" x14ac:dyDescent="0.25">
      <c r="B19" s="403" t="s">
        <v>202</v>
      </c>
      <c r="C19" s="404"/>
      <c r="D19" s="404"/>
      <c r="E19" s="404"/>
      <c r="F19" s="404"/>
      <c r="G19" s="404"/>
      <c r="H19" s="405"/>
    </row>
    <row r="20" spans="2:8" ht="18.600000000000001" customHeight="1" thickBot="1" x14ac:dyDescent="0.3">
      <c r="B20" s="192"/>
      <c r="C20" s="241"/>
      <c r="D20" s="241"/>
      <c r="E20" s="241"/>
      <c r="F20" s="241"/>
      <c r="G20" s="241"/>
      <c r="H20" s="242"/>
    </row>
    <row r="21" spans="2:8" ht="15.75" thickTop="1" x14ac:dyDescent="0.25">
      <c r="B21" s="256"/>
      <c r="C21" s="382" t="s">
        <v>175</v>
      </c>
      <c r="D21" s="383"/>
      <c r="E21" s="384" t="s">
        <v>176</v>
      </c>
      <c r="F21" s="385"/>
      <c r="G21" s="261"/>
      <c r="H21" s="257"/>
    </row>
    <row r="22" spans="2:8" ht="35.25" customHeight="1" x14ac:dyDescent="0.25">
      <c r="B22" s="256"/>
      <c r="C22" s="399" t="s">
        <v>177</v>
      </c>
      <c r="D22" s="392"/>
      <c r="E22" s="393" t="s">
        <v>178</v>
      </c>
      <c r="F22" s="394"/>
      <c r="G22" s="261"/>
      <c r="H22" s="257"/>
    </row>
    <row r="23" spans="2:8" ht="17.25" customHeight="1" x14ac:dyDescent="0.25">
      <c r="B23" s="256"/>
      <c r="C23" s="399" t="s">
        <v>211</v>
      </c>
      <c r="D23" s="392"/>
      <c r="E23" s="393" t="s">
        <v>179</v>
      </c>
      <c r="F23" s="394"/>
      <c r="G23" s="261"/>
      <c r="H23" s="257"/>
    </row>
    <row r="24" spans="2:8" ht="69.75" customHeight="1" x14ac:dyDescent="0.25">
      <c r="B24" s="256"/>
      <c r="C24" s="399" t="s">
        <v>196</v>
      </c>
      <c r="D24" s="392"/>
      <c r="E24" s="393" t="s">
        <v>225</v>
      </c>
      <c r="F24" s="394"/>
      <c r="G24" s="261"/>
      <c r="H24" s="257"/>
    </row>
    <row r="25" spans="2:8" ht="69.75" customHeight="1" x14ac:dyDescent="0.25">
      <c r="B25" s="256"/>
      <c r="C25" s="399" t="s">
        <v>226</v>
      </c>
      <c r="D25" s="392"/>
      <c r="E25" s="393" t="s">
        <v>227</v>
      </c>
      <c r="F25" s="394"/>
      <c r="G25" s="261"/>
      <c r="H25" s="257"/>
    </row>
    <row r="26" spans="2:8" ht="69.75" customHeight="1" x14ac:dyDescent="0.25">
      <c r="B26" s="256"/>
      <c r="C26" s="399" t="s">
        <v>213</v>
      </c>
      <c r="D26" s="392"/>
      <c r="E26" s="393" t="s">
        <v>180</v>
      </c>
      <c r="F26" s="394"/>
      <c r="G26" s="261"/>
      <c r="H26" s="257"/>
    </row>
    <row r="27" spans="2:8" ht="69.75" customHeight="1" x14ac:dyDescent="0.25">
      <c r="B27" s="256"/>
      <c r="C27" s="395" t="s">
        <v>72</v>
      </c>
      <c r="D27" s="390"/>
      <c r="E27" s="380" t="s">
        <v>224</v>
      </c>
      <c r="F27" s="381"/>
      <c r="G27" s="261"/>
      <c r="H27" s="257"/>
    </row>
    <row r="28" spans="2:8" ht="69.75" customHeight="1" x14ac:dyDescent="0.25">
      <c r="B28" s="256"/>
      <c r="C28" s="395" t="s">
        <v>214</v>
      </c>
      <c r="D28" s="390"/>
      <c r="E28" s="380" t="s">
        <v>215</v>
      </c>
      <c r="F28" s="381"/>
      <c r="G28" s="261"/>
      <c r="H28" s="257"/>
    </row>
    <row r="29" spans="2:8" ht="69.75" customHeight="1" x14ac:dyDescent="0.25">
      <c r="B29" s="256"/>
      <c r="C29" s="395" t="s">
        <v>216</v>
      </c>
      <c r="D29" s="390"/>
      <c r="E29" s="380" t="s">
        <v>217</v>
      </c>
      <c r="F29" s="381"/>
      <c r="G29" s="261"/>
      <c r="H29" s="257"/>
    </row>
    <row r="30" spans="2:8" ht="69.75" customHeight="1" x14ac:dyDescent="0.25">
      <c r="B30" s="256"/>
      <c r="C30" s="395" t="s">
        <v>44</v>
      </c>
      <c r="D30" s="390"/>
      <c r="E30" s="380" t="s">
        <v>218</v>
      </c>
      <c r="F30" s="381"/>
      <c r="G30" s="261"/>
      <c r="H30" s="257"/>
    </row>
    <row r="31" spans="2:8" ht="69.75" customHeight="1" x14ac:dyDescent="0.25">
      <c r="B31" s="256"/>
      <c r="C31" s="395" t="s">
        <v>219</v>
      </c>
      <c r="D31" s="390"/>
      <c r="E31" s="380" t="s">
        <v>220</v>
      </c>
      <c r="F31" s="381"/>
      <c r="G31" s="261"/>
      <c r="H31" s="257"/>
    </row>
    <row r="32" spans="2:8" ht="69.75" customHeight="1" x14ac:dyDescent="0.25">
      <c r="B32" s="256"/>
      <c r="C32" s="395" t="s">
        <v>221</v>
      </c>
      <c r="D32" s="390"/>
      <c r="E32" s="380" t="s">
        <v>222</v>
      </c>
      <c r="F32" s="381"/>
      <c r="G32" s="261"/>
      <c r="H32" s="257"/>
    </row>
    <row r="33" spans="2:8" ht="69.75" customHeight="1" x14ac:dyDescent="0.25">
      <c r="B33" s="256"/>
      <c r="C33" s="395" t="s">
        <v>157</v>
      </c>
      <c r="D33" s="390"/>
      <c r="E33" s="380" t="s">
        <v>223</v>
      </c>
      <c r="F33" s="381"/>
      <c r="G33" s="261"/>
      <c r="H33" s="257"/>
    </row>
    <row r="34" spans="2:8" x14ac:dyDescent="0.25">
      <c r="B34" s="256"/>
      <c r="C34" s="246"/>
      <c r="D34" s="246"/>
      <c r="E34" s="247"/>
      <c r="F34" s="247"/>
      <c r="G34" s="261"/>
      <c r="H34" s="257"/>
    </row>
    <row r="35" spans="2:8" ht="16.5" x14ac:dyDescent="0.25">
      <c r="B35" s="403" t="s">
        <v>228</v>
      </c>
      <c r="C35" s="404"/>
      <c r="D35" s="404"/>
      <c r="E35" s="404"/>
      <c r="F35" s="404"/>
      <c r="G35" s="404"/>
      <c r="H35" s="405"/>
    </row>
    <row r="36" spans="2:8" ht="14.45" customHeight="1" thickBot="1" x14ac:dyDescent="0.3">
      <c r="B36" s="262"/>
      <c r="C36" s="251"/>
      <c r="D36" s="251"/>
      <c r="E36" s="251"/>
      <c r="F36" s="251"/>
      <c r="G36" s="251"/>
      <c r="H36" s="263"/>
    </row>
    <row r="37" spans="2:8" ht="14.45" customHeight="1" thickTop="1" x14ac:dyDescent="0.25">
      <c r="B37" s="262"/>
      <c r="C37" s="382" t="s">
        <v>175</v>
      </c>
      <c r="D37" s="383"/>
      <c r="E37" s="384" t="s">
        <v>176</v>
      </c>
      <c r="F37" s="385"/>
      <c r="G37" s="251"/>
      <c r="H37" s="263"/>
    </row>
    <row r="38" spans="2:8" ht="90" customHeight="1" x14ac:dyDescent="0.25">
      <c r="B38" s="262"/>
      <c r="C38" s="395" t="s">
        <v>190</v>
      </c>
      <c r="D38" s="390"/>
      <c r="E38" s="380" t="s">
        <v>229</v>
      </c>
      <c r="F38" s="381"/>
      <c r="G38" s="251"/>
      <c r="H38" s="263"/>
    </row>
    <row r="39" spans="2:8" ht="53.45" customHeight="1" x14ac:dyDescent="0.25">
      <c r="B39" s="262"/>
      <c r="C39" s="395" t="s">
        <v>162</v>
      </c>
      <c r="D39" s="390"/>
      <c r="E39" s="380" t="s">
        <v>254</v>
      </c>
      <c r="F39" s="381"/>
      <c r="G39" s="251"/>
      <c r="H39" s="263"/>
    </row>
    <row r="40" spans="2:8" ht="54" customHeight="1" x14ac:dyDescent="0.25">
      <c r="B40" s="262"/>
      <c r="C40" s="395" t="s">
        <v>58</v>
      </c>
      <c r="D40" s="390"/>
      <c r="E40" s="380" t="s">
        <v>255</v>
      </c>
      <c r="F40" s="381"/>
      <c r="G40" s="251"/>
      <c r="H40" s="263"/>
    </row>
    <row r="41" spans="2:8" ht="32.450000000000003" customHeight="1" x14ac:dyDescent="0.25">
      <c r="B41" s="262"/>
      <c r="C41" s="395" t="s">
        <v>230</v>
      </c>
      <c r="D41" s="390"/>
      <c r="E41" s="380" t="s">
        <v>231</v>
      </c>
      <c r="F41" s="381"/>
      <c r="G41" s="251"/>
      <c r="H41" s="263"/>
    </row>
    <row r="42" spans="2:8" ht="16.5" x14ac:dyDescent="0.25">
      <c r="B42" s="262"/>
      <c r="C42" s="251"/>
      <c r="D42" s="251"/>
      <c r="E42" s="251"/>
      <c r="F42" s="251"/>
      <c r="G42" s="251"/>
      <c r="H42" s="263"/>
    </row>
    <row r="43" spans="2:8" ht="18.600000000000001" customHeight="1" x14ac:dyDescent="0.25">
      <c r="B43" s="396" t="s">
        <v>207</v>
      </c>
      <c r="C43" s="397"/>
      <c r="D43" s="397"/>
      <c r="E43" s="397"/>
      <c r="F43" s="397"/>
      <c r="G43" s="397"/>
      <c r="H43" s="398"/>
    </row>
    <row r="44" spans="2:8" ht="18.600000000000001" customHeight="1" x14ac:dyDescent="0.25">
      <c r="B44" s="248"/>
      <c r="C44" s="249"/>
      <c r="D44" s="249"/>
      <c r="E44" s="249"/>
      <c r="F44" s="249"/>
      <c r="G44" s="249"/>
      <c r="H44" s="250"/>
    </row>
    <row r="45" spans="2:8" ht="18.600000000000001" customHeight="1" x14ac:dyDescent="0.25">
      <c r="B45" s="403" t="s">
        <v>203</v>
      </c>
      <c r="C45" s="404"/>
      <c r="D45" s="404"/>
      <c r="E45" s="404"/>
      <c r="F45" s="404"/>
      <c r="G45" s="404"/>
      <c r="H45" s="405"/>
    </row>
    <row r="46" spans="2:8" ht="18.600000000000001" customHeight="1" thickBot="1" x14ac:dyDescent="0.3">
      <c r="B46" s="192"/>
      <c r="C46" s="241"/>
      <c r="D46" s="241"/>
      <c r="E46" s="241"/>
      <c r="F46" s="241"/>
      <c r="G46" s="241"/>
      <c r="H46" s="242"/>
    </row>
    <row r="47" spans="2:8" ht="18.600000000000001" customHeight="1" thickTop="1" x14ac:dyDescent="0.25">
      <c r="B47" s="192"/>
      <c r="C47" s="382" t="s">
        <v>175</v>
      </c>
      <c r="D47" s="383"/>
      <c r="E47" s="384" t="s">
        <v>176</v>
      </c>
      <c r="F47" s="385"/>
      <c r="G47" s="241"/>
      <c r="H47" s="242"/>
    </row>
    <row r="48" spans="2:8" ht="53.1" customHeight="1" x14ac:dyDescent="0.25">
      <c r="B48" s="192"/>
      <c r="C48" s="386" t="s">
        <v>165</v>
      </c>
      <c r="D48" s="379"/>
      <c r="E48" s="380" t="s">
        <v>181</v>
      </c>
      <c r="F48" s="381"/>
      <c r="G48" s="241"/>
      <c r="H48" s="242"/>
    </row>
    <row r="49" spans="2:8" ht="54" customHeight="1" x14ac:dyDescent="0.25">
      <c r="B49" s="192"/>
      <c r="C49" s="386" t="s">
        <v>84</v>
      </c>
      <c r="D49" s="379"/>
      <c r="E49" s="380" t="s">
        <v>232</v>
      </c>
      <c r="F49" s="381"/>
      <c r="G49" s="241"/>
      <c r="H49" s="242"/>
    </row>
    <row r="50" spans="2:8" ht="51.95" customHeight="1" x14ac:dyDescent="0.25">
      <c r="B50" s="192"/>
      <c r="C50" s="386" t="s">
        <v>85</v>
      </c>
      <c r="D50" s="379"/>
      <c r="E50" s="380" t="s">
        <v>234</v>
      </c>
      <c r="F50" s="381"/>
      <c r="G50" s="241"/>
      <c r="H50" s="242"/>
    </row>
    <row r="51" spans="2:8" ht="53.45" customHeight="1" x14ac:dyDescent="0.25">
      <c r="B51" s="192"/>
      <c r="C51" s="386" t="s">
        <v>108</v>
      </c>
      <c r="D51" s="379"/>
      <c r="E51" s="380" t="s">
        <v>234</v>
      </c>
      <c r="F51" s="381"/>
      <c r="G51" s="241"/>
      <c r="H51" s="242"/>
    </row>
    <row r="52" spans="2:8" ht="48.6" customHeight="1" x14ac:dyDescent="0.25">
      <c r="B52" s="192"/>
      <c r="C52" s="386" t="s">
        <v>86</v>
      </c>
      <c r="D52" s="379"/>
      <c r="E52" s="380" t="s">
        <v>235</v>
      </c>
      <c r="F52" s="381"/>
      <c r="G52" s="241"/>
      <c r="H52" s="242"/>
    </row>
    <row r="53" spans="2:8" ht="49.5" customHeight="1" x14ac:dyDescent="0.25">
      <c r="B53" s="192"/>
      <c r="C53" s="386" t="s">
        <v>87</v>
      </c>
      <c r="D53" s="379"/>
      <c r="E53" s="380" t="s">
        <v>233</v>
      </c>
      <c r="F53" s="381"/>
      <c r="G53" s="241"/>
      <c r="H53" s="242"/>
    </row>
    <row r="54" spans="2:8" ht="50.1" customHeight="1" x14ac:dyDescent="0.25">
      <c r="B54" s="192"/>
      <c r="C54" s="386" t="s">
        <v>103</v>
      </c>
      <c r="D54" s="379"/>
      <c r="E54" s="380" t="s">
        <v>238</v>
      </c>
      <c r="F54" s="381"/>
      <c r="G54" s="241"/>
      <c r="H54" s="242"/>
    </row>
    <row r="55" spans="2:8" ht="29.45" customHeight="1" x14ac:dyDescent="0.25">
      <c r="B55" s="192"/>
      <c r="C55" s="386" t="s">
        <v>107</v>
      </c>
      <c r="D55" s="379"/>
      <c r="E55" s="380" t="s">
        <v>236</v>
      </c>
      <c r="F55" s="381"/>
      <c r="G55" s="241"/>
      <c r="H55" s="242"/>
    </row>
    <row r="56" spans="2:8" ht="39.950000000000003" customHeight="1" x14ac:dyDescent="0.25">
      <c r="B56" s="192"/>
      <c r="C56" s="386" t="s">
        <v>111</v>
      </c>
      <c r="D56" s="379"/>
      <c r="E56" s="380" t="s">
        <v>237</v>
      </c>
      <c r="F56" s="381"/>
      <c r="G56" s="241"/>
      <c r="H56" s="242"/>
    </row>
    <row r="57" spans="2:8" ht="29.45" customHeight="1" x14ac:dyDescent="0.25">
      <c r="B57" s="192"/>
      <c r="C57" s="386" t="s">
        <v>10</v>
      </c>
      <c r="D57" s="379"/>
      <c r="E57" s="380" t="s">
        <v>193</v>
      </c>
      <c r="F57" s="381"/>
      <c r="G57" s="241"/>
      <c r="H57" s="242"/>
    </row>
    <row r="58" spans="2:8" ht="18.600000000000001" customHeight="1" x14ac:dyDescent="0.25">
      <c r="B58" s="192"/>
      <c r="C58" s="241"/>
      <c r="D58" s="241"/>
      <c r="E58" s="241"/>
      <c r="F58" s="241"/>
      <c r="G58" s="241"/>
      <c r="H58" s="242"/>
    </row>
    <row r="59" spans="2:8" ht="18.600000000000001" customHeight="1" x14ac:dyDescent="0.25">
      <c r="B59" s="400" t="s">
        <v>206</v>
      </c>
      <c r="C59" s="401"/>
      <c r="D59" s="401"/>
      <c r="E59" s="401"/>
      <c r="F59" s="401"/>
      <c r="G59" s="401"/>
      <c r="H59" s="402"/>
    </row>
    <row r="60" spans="2:8" ht="18.600000000000001" customHeight="1" x14ac:dyDescent="0.25">
      <c r="B60" s="192"/>
      <c r="C60" s="241"/>
      <c r="D60" s="241"/>
      <c r="E60" s="241"/>
      <c r="F60" s="241"/>
      <c r="G60" s="241"/>
      <c r="H60" s="242"/>
    </row>
    <row r="61" spans="2:8" ht="18.600000000000001" customHeight="1" x14ac:dyDescent="0.25">
      <c r="B61" s="387" t="s">
        <v>204</v>
      </c>
      <c r="C61" s="388"/>
      <c r="D61" s="388"/>
      <c r="E61" s="388"/>
      <c r="F61" s="388"/>
      <c r="G61" s="388"/>
      <c r="H61" s="389"/>
    </row>
    <row r="62" spans="2:8" ht="18.600000000000001" customHeight="1" x14ac:dyDescent="0.25">
      <c r="B62" s="235"/>
      <c r="C62" s="236"/>
      <c r="D62" s="236"/>
      <c r="E62" s="236"/>
      <c r="F62" s="236"/>
      <c r="G62" s="236"/>
      <c r="H62" s="237"/>
    </row>
    <row r="63" spans="2:8" ht="30" customHeight="1" x14ac:dyDescent="0.25">
      <c r="B63" s="403" t="s">
        <v>205</v>
      </c>
      <c r="C63" s="404"/>
      <c r="D63" s="404"/>
      <c r="E63" s="404"/>
      <c r="F63" s="404"/>
      <c r="G63" s="404"/>
      <c r="H63" s="405"/>
    </row>
    <row r="64" spans="2:8" ht="17.25" thickBot="1" x14ac:dyDescent="0.3">
      <c r="B64" s="192"/>
      <c r="C64" s="241"/>
      <c r="D64" s="241"/>
      <c r="E64" s="241"/>
      <c r="F64" s="241"/>
      <c r="G64" s="241"/>
      <c r="H64" s="242"/>
    </row>
    <row r="65" spans="2:8" ht="30" customHeight="1" thickTop="1" x14ac:dyDescent="0.25">
      <c r="B65" s="192"/>
      <c r="C65" s="382" t="s">
        <v>175</v>
      </c>
      <c r="D65" s="383"/>
      <c r="E65" s="384" t="s">
        <v>176</v>
      </c>
      <c r="F65" s="385"/>
      <c r="G65" s="241"/>
      <c r="H65" s="242"/>
    </row>
    <row r="66" spans="2:8" ht="30" customHeight="1" x14ac:dyDescent="0.25">
      <c r="B66" s="192"/>
      <c r="C66" s="386" t="s">
        <v>118</v>
      </c>
      <c r="D66" s="379"/>
      <c r="E66" s="380" t="s">
        <v>239</v>
      </c>
      <c r="F66" s="381"/>
      <c r="G66" s="241"/>
      <c r="H66" s="242"/>
    </row>
    <row r="67" spans="2:8" ht="44.45" customHeight="1" x14ac:dyDescent="0.25">
      <c r="B67" s="192"/>
      <c r="C67" s="386" t="s">
        <v>119</v>
      </c>
      <c r="D67" s="379"/>
      <c r="E67" s="380" t="s">
        <v>240</v>
      </c>
      <c r="F67" s="381"/>
      <c r="G67" s="241"/>
      <c r="H67" s="242"/>
    </row>
    <row r="68" spans="2:8" ht="51" customHeight="1" x14ac:dyDescent="0.25">
      <c r="B68" s="192"/>
      <c r="C68" s="386" t="s">
        <v>168</v>
      </c>
      <c r="D68" s="379"/>
      <c r="E68" s="380" t="s">
        <v>241</v>
      </c>
      <c r="F68" s="381"/>
      <c r="G68" s="241"/>
      <c r="H68" s="242"/>
    </row>
    <row r="69" spans="2:8" ht="76.5" customHeight="1" x14ac:dyDescent="0.25">
      <c r="B69" s="192"/>
      <c r="C69" s="386" t="s">
        <v>242</v>
      </c>
      <c r="D69" s="379"/>
      <c r="E69" s="380" t="s">
        <v>182</v>
      </c>
      <c r="F69" s="381"/>
      <c r="G69" s="241"/>
      <c r="H69" s="242"/>
    </row>
    <row r="70" spans="2:8" ht="30" customHeight="1" x14ac:dyDescent="0.25">
      <c r="B70" s="192"/>
      <c r="C70" s="386" t="s">
        <v>142</v>
      </c>
      <c r="D70" s="379"/>
      <c r="E70" s="380" t="s">
        <v>244</v>
      </c>
      <c r="F70" s="381"/>
      <c r="G70" s="241"/>
      <c r="H70" s="242"/>
    </row>
    <row r="71" spans="2:8" ht="30" customHeight="1" x14ac:dyDescent="0.25">
      <c r="B71" s="192"/>
      <c r="C71" s="386" t="s">
        <v>245</v>
      </c>
      <c r="D71" s="379"/>
      <c r="E71" s="380" t="s">
        <v>246</v>
      </c>
      <c r="F71" s="381"/>
      <c r="G71" s="241"/>
      <c r="H71" s="242"/>
    </row>
    <row r="72" spans="2:8" ht="30" customHeight="1" x14ac:dyDescent="0.25">
      <c r="B72" s="192"/>
      <c r="C72" s="386" t="s">
        <v>247</v>
      </c>
      <c r="D72" s="379"/>
      <c r="E72" s="380" t="s">
        <v>248</v>
      </c>
      <c r="F72" s="381"/>
      <c r="G72" s="241"/>
      <c r="H72" s="242"/>
    </row>
    <row r="73" spans="2:8" ht="53.45" customHeight="1" x14ac:dyDescent="0.25">
      <c r="B73" s="192"/>
      <c r="C73" s="386" t="s">
        <v>126</v>
      </c>
      <c r="D73" s="379"/>
      <c r="E73" s="380" t="s">
        <v>243</v>
      </c>
      <c r="F73" s="381"/>
      <c r="G73" s="241"/>
      <c r="H73" s="242"/>
    </row>
    <row r="74" spans="2:8" ht="30" customHeight="1" x14ac:dyDescent="0.25">
      <c r="B74" s="192"/>
      <c r="C74" s="241"/>
      <c r="D74" s="241"/>
      <c r="E74" s="241"/>
      <c r="F74" s="241"/>
      <c r="G74" s="241"/>
      <c r="H74" s="242"/>
    </row>
    <row r="75" spans="2:8" ht="18.600000000000001" customHeight="1" x14ac:dyDescent="0.25">
      <c r="B75" s="387" t="s">
        <v>208</v>
      </c>
      <c r="C75" s="388"/>
      <c r="D75" s="388"/>
      <c r="E75" s="388"/>
      <c r="F75" s="388"/>
      <c r="G75" s="388"/>
      <c r="H75" s="389"/>
    </row>
    <row r="76" spans="2:8" ht="18.600000000000001" customHeight="1" x14ac:dyDescent="0.25">
      <c r="B76" s="243"/>
      <c r="C76" s="244"/>
      <c r="D76" s="244"/>
      <c r="E76" s="244"/>
      <c r="F76" s="244"/>
      <c r="G76" s="244"/>
      <c r="H76" s="245"/>
    </row>
    <row r="77" spans="2:8" ht="18.600000000000001" customHeight="1" x14ac:dyDescent="0.25">
      <c r="B77" s="387" t="s">
        <v>209</v>
      </c>
      <c r="C77" s="388"/>
      <c r="D77" s="388"/>
      <c r="E77" s="388"/>
      <c r="F77" s="388"/>
      <c r="G77" s="388"/>
      <c r="H77" s="389"/>
    </row>
    <row r="78" spans="2:8" ht="18.600000000000001" customHeight="1" x14ac:dyDescent="0.25">
      <c r="B78" s="243"/>
      <c r="C78" s="244"/>
      <c r="D78" s="244"/>
      <c r="E78" s="244"/>
      <c r="F78" s="244"/>
      <c r="G78" s="244"/>
      <c r="H78" s="245"/>
    </row>
    <row r="79" spans="2:8" ht="18.600000000000001" customHeight="1" x14ac:dyDescent="0.25">
      <c r="B79" s="387" t="s">
        <v>210</v>
      </c>
      <c r="C79" s="388"/>
      <c r="D79" s="388"/>
      <c r="E79" s="388"/>
      <c r="F79" s="388"/>
      <c r="G79" s="388"/>
      <c r="H79" s="389"/>
    </row>
    <row r="80" spans="2:8" ht="16.5" x14ac:dyDescent="0.25">
      <c r="B80" s="192"/>
      <c r="C80" s="264"/>
      <c r="D80" s="264"/>
      <c r="E80" s="264"/>
      <c r="F80" s="264"/>
      <c r="G80" s="264"/>
      <c r="H80" s="193"/>
    </row>
    <row r="81" spans="2:8" ht="16.5" x14ac:dyDescent="0.25">
      <c r="B81" s="192"/>
      <c r="C81" s="264"/>
      <c r="D81" s="264"/>
      <c r="E81" s="264"/>
      <c r="F81" s="264"/>
      <c r="G81" s="264"/>
      <c r="H81" s="193"/>
    </row>
    <row r="82" spans="2:8" ht="16.5" x14ac:dyDescent="0.25">
      <c r="B82" s="192" t="s">
        <v>251</v>
      </c>
      <c r="C82" s="264"/>
      <c r="D82" s="264"/>
      <c r="E82" s="264"/>
      <c r="F82" s="264"/>
      <c r="G82" s="264"/>
      <c r="H82" s="193"/>
    </row>
    <row r="83" spans="2:8" ht="16.5" x14ac:dyDescent="0.25">
      <c r="B83" s="192"/>
      <c r="C83" s="264"/>
      <c r="D83" s="264"/>
      <c r="E83" s="264"/>
      <c r="F83" s="264"/>
      <c r="G83" s="264"/>
      <c r="H83" s="193"/>
    </row>
    <row r="84" spans="2:8" ht="15.75" thickBot="1" x14ac:dyDescent="0.3">
      <c r="B84" s="256"/>
      <c r="C84" s="261"/>
      <c r="D84" s="265"/>
      <c r="E84" s="266"/>
      <c r="F84" s="266"/>
      <c r="G84" s="267"/>
      <c r="H84" s="257"/>
    </row>
    <row r="85" spans="2:8" ht="15.75" thickTop="1" x14ac:dyDescent="0.25">
      <c r="B85" s="268" t="s">
        <v>252</v>
      </c>
      <c r="C85" s="424" t="s">
        <v>175</v>
      </c>
      <c r="D85" s="383"/>
      <c r="E85" s="384" t="s">
        <v>176</v>
      </c>
      <c r="F85" s="385"/>
      <c r="G85" s="261"/>
      <c r="H85" s="257"/>
    </row>
    <row r="86" spans="2:8" s="191" customFormat="1" x14ac:dyDescent="0.25">
      <c r="B86" s="272">
        <v>2</v>
      </c>
      <c r="C86" s="391" t="s">
        <v>177</v>
      </c>
      <c r="D86" s="392"/>
      <c r="E86" s="393" t="s">
        <v>178</v>
      </c>
      <c r="F86" s="394"/>
      <c r="G86" s="269"/>
      <c r="H86" s="194"/>
    </row>
    <row r="87" spans="2:8" s="191" customFormat="1" ht="17.25" customHeight="1" x14ac:dyDescent="0.25">
      <c r="B87" s="272">
        <v>2</v>
      </c>
      <c r="C87" s="391" t="s">
        <v>211</v>
      </c>
      <c r="D87" s="392"/>
      <c r="E87" s="393" t="s">
        <v>179</v>
      </c>
      <c r="F87" s="394"/>
      <c r="G87" s="269"/>
      <c r="H87" s="194"/>
    </row>
    <row r="88" spans="2:8" s="191" customFormat="1" ht="25.5" customHeight="1" x14ac:dyDescent="0.25">
      <c r="B88" s="272">
        <v>2</v>
      </c>
      <c r="C88" s="391" t="s">
        <v>196</v>
      </c>
      <c r="D88" s="392"/>
      <c r="E88" s="393" t="s">
        <v>225</v>
      </c>
      <c r="F88" s="394"/>
      <c r="G88" s="269"/>
      <c r="H88" s="194"/>
    </row>
    <row r="89" spans="2:8" s="191" customFormat="1" ht="25.5" customHeight="1" x14ac:dyDescent="0.25">
      <c r="B89" s="272">
        <v>2</v>
      </c>
      <c r="C89" s="391" t="s">
        <v>226</v>
      </c>
      <c r="D89" s="392"/>
      <c r="E89" s="393" t="s">
        <v>227</v>
      </c>
      <c r="F89" s="394"/>
      <c r="G89" s="269"/>
      <c r="H89" s="194"/>
    </row>
    <row r="90" spans="2:8" s="191" customFormat="1" ht="66.95" customHeight="1" x14ac:dyDescent="0.25">
      <c r="B90" s="272">
        <v>2</v>
      </c>
      <c r="C90" s="391" t="s">
        <v>213</v>
      </c>
      <c r="D90" s="392"/>
      <c r="E90" s="393" t="s">
        <v>180</v>
      </c>
      <c r="F90" s="394"/>
      <c r="G90" s="269"/>
      <c r="H90" s="194"/>
    </row>
    <row r="91" spans="2:8" s="191" customFormat="1" ht="67.5" customHeight="1" x14ac:dyDescent="0.25">
      <c r="B91" s="272">
        <v>2</v>
      </c>
      <c r="C91" s="379" t="s">
        <v>72</v>
      </c>
      <c r="D91" s="390"/>
      <c r="E91" s="380" t="s">
        <v>224</v>
      </c>
      <c r="F91" s="381"/>
      <c r="G91" s="269"/>
      <c r="H91" s="194"/>
    </row>
    <row r="92" spans="2:8" s="191" customFormat="1" ht="43.5" customHeight="1" x14ac:dyDescent="0.25">
      <c r="B92" s="272">
        <v>2</v>
      </c>
      <c r="C92" s="379" t="s">
        <v>214</v>
      </c>
      <c r="D92" s="390"/>
      <c r="E92" s="380" t="s">
        <v>215</v>
      </c>
      <c r="F92" s="381"/>
      <c r="G92" s="269"/>
      <c r="H92" s="194"/>
    </row>
    <row r="93" spans="2:8" s="191" customFormat="1" ht="35.1" customHeight="1" x14ac:dyDescent="0.25">
      <c r="B93" s="272">
        <v>2</v>
      </c>
      <c r="C93" s="379" t="s">
        <v>216</v>
      </c>
      <c r="D93" s="390"/>
      <c r="E93" s="380" t="s">
        <v>217</v>
      </c>
      <c r="F93" s="381"/>
      <c r="G93" s="269"/>
      <c r="H93" s="194"/>
    </row>
    <row r="94" spans="2:8" s="191" customFormat="1" ht="72.75" customHeight="1" x14ac:dyDescent="0.25">
      <c r="B94" s="272">
        <v>2</v>
      </c>
      <c r="C94" s="379" t="s">
        <v>44</v>
      </c>
      <c r="D94" s="390"/>
      <c r="E94" s="380" t="s">
        <v>249</v>
      </c>
      <c r="F94" s="381"/>
      <c r="G94" s="269"/>
      <c r="H94" s="194"/>
    </row>
    <row r="95" spans="2:8" s="191" customFormat="1" ht="93.95" customHeight="1" x14ac:dyDescent="0.25">
      <c r="B95" s="272">
        <v>2</v>
      </c>
      <c r="C95" s="379" t="s">
        <v>219</v>
      </c>
      <c r="D95" s="390"/>
      <c r="E95" s="380" t="s">
        <v>220</v>
      </c>
      <c r="F95" s="381"/>
      <c r="G95" s="269"/>
      <c r="H95" s="194"/>
    </row>
    <row r="96" spans="2:8" s="191" customFormat="1" ht="93.95" customHeight="1" x14ac:dyDescent="0.25">
      <c r="B96" s="272">
        <v>2</v>
      </c>
      <c r="C96" s="379" t="s">
        <v>221</v>
      </c>
      <c r="D96" s="390"/>
      <c r="E96" s="380" t="s">
        <v>222</v>
      </c>
      <c r="F96" s="381"/>
      <c r="G96" s="269"/>
      <c r="H96" s="194"/>
    </row>
    <row r="97" spans="2:8" s="191" customFormat="1" x14ac:dyDescent="0.25">
      <c r="B97" s="272">
        <v>2</v>
      </c>
      <c r="C97" s="379" t="s">
        <v>157</v>
      </c>
      <c r="D97" s="390"/>
      <c r="E97" s="380" t="s">
        <v>223</v>
      </c>
      <c r="F97" s="381"/>
      <c r="G97" s="269"/>
      <c r="H97" s="194"/>
    </row>
    <row r="98" spans="2:8" s="191" customFormat="1" ht="66.599999999999994" customHeight="1" x14ac:dyDescent="0.25">
      <c r="B98" s="272">
        <v>3</v>
      </c>
      <c r="C98" s="379" t="s">
        <v>190</v>
      </c>
      <c r="D98" s="390"/>
      <c r="E98" s="380" t="s">
        <v>229</v>
      </c>
      <c r="F98" s="381"/>
      <c r="G98" s="269"/>
      <c r="H98" s="194"/>
    </row>
    <row r="99" spans="2:8" s="191" customFormat="1" ht="66.599999999999994" customHeight="1" x14ac:dyDescent="0.25">
      <c r="B99" s="272">
        <v>3</v>
      </c>
      <c r="C99" s="379" t="s">
        <v>162</v>
      </c>
      <c r="D99" s="390"/>
      <c r="E99" s="380" t="s">
        <v>254</v>
      </c>
      <c r="F99" s="381"/>
      <c r="G99" s="269"/>
      <c r="H99" s="194"/>
    </row>
    <row r="100" spans="2:8" s="191" customFormat="1" ht="62.45" customHeight="1" x14ac:dyDescent="0.25">
      <c r="B100" s="272">
        <v>3</v>
      </c>
      <c r="C100" s="379" t="s">
        <v>58</v>
      </c>
      <c r="D100" s="390"/>
      <c r="E100" s="380" t="s">
        <v>255</v>
      </c>
      <c r="F100" s="381"/>
      <c r="G100" s="269"/>
      <c r="H100" s="194"/>
    </row>
    <row r="101" spans="2:8" s="191" customFormat="1" ht="38.450000000000003" customHeight="1" x14ac:dyDescent="0.25">
      <c r="B101" s="272">
        <v>3</v>
      </c>
      <c r="C101" s="379" t="s">
        <v>230</v>
      </c>
      <c r="D101" s="390"/>
      <c r="E101" s="380" t="s">
        <v>231</v>
      </c>
      <c r="F101" s="381"/>
      <c r="G101" s="269"/>
      <c r="H101" s="194"/>
    </row>
    <row r="102" spans="2:8" ht="59.25" customHeight="1" x14ac:dyDescent="0.25">
      <c r="B102" s="273">
        <v>5</v>
      </c>
      <c r="C102" s="378" t="s">
        <v>165</v>
      </c>
      <c r="D102" s="379"/>
      <c r="E102" s="380" t="s">
        <v>250</v>
      </c>
      <c r="F102" s="381"/>
      <c r="G102" s="261"/>
      <c r="H102" s="257"/>
    </row>
    <row r="103" spans="2:8" ht="59.25" customHeight="1" x14ac:dyDescent="0.25">
      <c r="B103" s="273">
        <v>5</v>
      </c>
      <c r="C103" s="378" t="s">
        <v>84</v>
      </c>
      <c r="D103" s="379"/>
      <c r="E103" s="380" t="s">
        <v>232</v>
      </c>
      <c r="F103" s="381"/>
      <c r="G103" s="261"/>
      <c r="H103" s="257"/>
    </row>
    <row r="104" spans="2:8" ht="59.25" customHeight="1" x14ac:dyDescent="0.25">
      <c r="B104" s="273">
        <v>5</v>
      </c>
      <c r="C104" s="378" t="s">
        <v>85</v>
      </c>
      <c r="D104" s="379"/>
      <c r="E104" s="380" t="s">
        <v>234</v>
      </c>
      <c r="F104" s="381"/>
      <c r="G104" s="261"/>
      <c r="H104" s="257"/>
    </row>
    <row r="105" spans="2:8" ht="59.25" customHeight="1" x14ac:dyDescent="0.25">
      <c r="B105" s="273">
        <v>5</v>
      </c>
      <c r="C105" s="378" t="s">
        <v>108</v>
      </c>
      <c r="D105" s="379"/>
      <c r="E105" s="380" t="s">
        <v>234</v>
      </c>
      <c r="F105" s="381"/>
      <c r="G105" s="261"/>
      <c r="H105" s="257"/>
    </row>
    <row r="106" spans="2:8" ht="47.45" customHeight="1" x14ac:dyDescent="0.25">
      <c r="B106" s="273">
        <v>5</v>
      </c>
      <c r="C106" s="378" t="s">
        <v>86</v>
      </c>
      <c r="D106" s="379"/>
      <c r="E106" s="380" t="s">
        <v>235</v>
      </c>
      <c r="F106" s="381"/>
      <c r="G106" s="261"/>
      <c r="H106" s="257"/>
    </row>
    <row r="107" spans="2:8" ht="45.6" customHeight="1" x14ac:dyDescent="0.25">
      <c r="B107" s="273">
        <v>5</v>
      </c>
      <c r="C107" s="378" t="s">
        <v>87</v>
      </c>
      <c r="D107" s="379"/>
      <c r="E107" s="380" t="s">
        <v>233</v>
      </c>
      <c r="F107" s="381"/>
      <c r="G107" s="261"/>
      <c r="H107" s="257"/>
    </row>
    <row r="108" spans="2:8" ht="32.450000000000003" customHeight="1" x14ac:dyDescent="0.25">
      <c r="B108" s="273">
        <v>5</v>
      </c>
      <c r="C108" s="378" t="s">
        <v>103</v>
      </c>
      <c r="D108" s="379"/>
      <c r="E108" s="380" t="s">
        <v>238</v>
      </c>
      <c r="F108" s="381"/>
      <c r="G108" s="261"/>
      <c r="H108" s="257"/>
    </row>
    <row r="109" spans="2:8" ht="33.6" customHeight="1" x14ac:dyDescent="0.25">
      <c r="B109" s="273">
        <v>5</v>
      </c>
      <c r="C109" s="378" t="s">
        <v>107</v>
      </c>
      <c r="D109" s="379"/>
      <c r="E109" s="380" t="s">
        <v>236</v>
      </c>
      <c r="F109" s="381"/>
      <c r="G109" s="261"/>
      <c r="H109" s="257"/>
    </row>
    <row r="110" spans="2:8" ht="33.6" customHeight="1" x14ac:dyDescent="0.25">
      <c r="B110" s="273">
        <v>5</v>
      </c>
      <c r="C110" s="378" t="s">
        <v>111</v>
      </c>
      <c r="D110" s="379"/>
      <c r="E110" s="380" t="s">
        <v>237</v>
      </c>
      <c r="F110" s="381"/>
      <c r="G110" s="261"/>
      <c r="H110" s="257"/>
    </row>
    <row r="111" spans="2:8" x14ac:dyDescent="0.25">
      <c r="B111" s="273">
        <v>5</v>
      </c>
      <c r="C111" s="378" t="s">
        <v>10</v>
      </c>
      <c r="D111" s="379"/>
      <c r="E111" s="380" t="s">
        <v>193</v>
      </c>
      <c r="F111" s="381"/>
      <c r="G111" s="261"/>
      <c r="H111" s="257"/>
    </row>
    <row r="112" spans="2:8" ht="24.95" customHeight="1" x14ac:dyDescent="0.25">
      <c r="B112" s="273">
        <v>8</v>
      </c>
      <c r="C112" s="378" t="s">
        <v>118</v>
      </c>
      <c r="D112" s="379"/>
      <c r="E112" s="380" t="s">
        <v>239</v>
      </c>
      <c r="F112" s="381"/>
      <c r="G112" s="261"/>
      <c r="H112" s="257"/>
    </row>
    <row r="113" spans="2:8" ht="46.5" customHeight="1" x14ac:dyDescent="0.25">
      <c r="B113" s="273">
        <v>8</v>
      </c>
      <c r="C113" s="378" t="s">
        <v>119</v>
      </c>
      <c r="D113" s="379"/>
      <c r="E113" s="380" t="s">
        <v>240</v>
      </c>
      <c r="F113" s="381"/>
      <c r="G113" s="261"/>
      <c r="H113" s="257"/>
    </row>
    <row r="114" spans="2:8" ht="46.5" customHeight="1" x14ac:dyDescent="0.25">
      <c r="B114" s="273">
        <v>8</v>
      </c>
      <c r="C114" s="378" t="s">
        <v>168</v>
      </c>
      <c r="D114" s="379"/>
      <c r="E114" s="380" t="s">
        <v>241</v>
      </c>
      <c r="F114" s="381"/>
      <c r="G114" s="261"/>
      <c r="H114" s="257"/>
    </row>
    <row r="115" spans="2:8" s="191" customFormat="1" ht="82.5" customHeight="1" x14ac:dyDescent="0.25">
      <c r="B115" s="272">
        <v>8</v>
      </c>
      <c r="C115" s="378" t="s">
        <v>242</v>
      </c>
      <c r="D115" s="379"/>
      <c r="E115" s="380" t="s">
        <v>182</v>
      </c>
      <c r="F115" s="381"/>
      <c r="G115" s="269"/>
      <c r="H115" s="194"/>
    </row>
    <row r="116" spans="2:8" s="191" customFormat="1" ht="33.950000000000003" customHeight="1" x14ac:dyDescent="0.25">
      <c r="B116" s="272">
        <v>8</v>
      </c>
      <c r="C116" s="378" t="s">
        <v>142</v>
      </c>
      <c r="D116" s="379"/>
      <c r="E116" s="380" t="s">
        <v>244</v>
      </c>
      <c r="F116" s="381"/>
      <c r="G116" s="269"/>
      <c r="H116" s="194"/>
    </row>
    <row r="117" spans="2:8" s="191" customFormat="1" ht="33.950000000000003" customHeight="1" x14ac:dyDescent="0.25">
      <c r="B117" s="272">
        <v>8</v>
      </c>
      <c r="C117" s="378" t="s">
        <v>245</v>
      </c>
      <c r="D117" s="379"/>
      <c r="E117" s="380" t="s">
        <v>246</v>
      </c>
      <c r="F117" s="381"/>
      <c r="G117" s="269"/>
      <c r="H117" s="194"/>
    </row>
    <row r="118" spans="2:8" s="191" customFormat="1" ht="33.950000000000003" customHeight="1" x14ac:dyDescent="0.25">
      <c r="B118" s="272">
        <v>8</v>
      </c>
      <c r="C118" s="378" t="s">
        <v>247</v>
      </c>
      <c r="D118" s="379"/>
      <c r="E118" s="380" t="s">
        <v>248</v>
      </c>
      <c r="F118" s="381"/>
      <c r="G118" s="269"/>
      <c r="H118" s="194"/>
    </row>
    <row r="119" spans="2:8" s="191" customFormat="1" ht="46.5" customHeight="1" x14ac:dyDescent="0.25">
      <c r="B119" s="272">
        <v>8</v>
      </c>
      <c r="C119" s="378" t="s">
        <v>126</v>
      </c>
      <c r="D119" s="379"/>
      <c r="E119" s="380" t="s">
        <v>243</v>
      </c>
      <c r="F119" s="381"/>
      <c r="G119" s="269"/>
      <c r="H119" s="194"/>
    </row>
    <row r="120" spans="2:8" ht="6.75" customHeight="1" thickBot="1" x14ac:dyDescent="0.3">
      <c r="B120" s="256"/>
      <c r="C120" s="406"/>
      <c r="D120" s="407"/>
      <c r="E120" s="408"/>
      <c r="F120" s="409"/>
      <c r="G120" s="261"/>
      <c r="H120" s="257"/>
    </row>
    <row r="121" spans="2:8" ht="15.75" thickTop="1" x14ac:dyDescent="0.25">
      <c r="B121" s="256"/>
      <c r="C121" s="270"/>
      <c r="D121" s="270"/>
      <c r="E121" s="271"/>
      <c r="F121" s="271"/>
      <c r="G121" s="261"/>
      <c r="H121" s="257"/>
    </row>
    <row r="122" spans="2:8" ht="15.75" thickBot="1" x14ac:dyDescent="0.3">
      <c r="B122" s="258"/>
      <c r="C122" s="259"/>
      <c r="D122" s="259"/>
      <c r="E122" s="259"/>
      <c r="F122" s="259"/>
      <c r="G122" s="259"/>
      <c r="H122" s="260"/>
    </row>
    <row r="126" spans="2:8" x14ac:dyDescent="0.25">
      <c r="B126" s="289" t="s">
        <v>264</v>
      </c>
    </row>
    <row r="127" spans="2:8" ht="48" customHeight="1" x14ac:dyDescent="0.25">
      <c r="B127" s="376" t="s">
        <v>265</v>
      </c>
      <c r="C127" s="376"/>
    </row>
    <row r="128" spans="2:8" x14ac:dyDescent="0.25">
      <c r="B128" s="377">
        <v>44342</v>
      </c>
      <c r="C128" s="377"/>
    </row>
  </sheetData>
  <sheetProtection sheet="1" scenarios="1" formatCells="0" formatColumns="0" formatRows="0"/>
  <autoFilter ref="B85:H119" xr:uid="{00000000-0009-0000-0000-000000000000}">
    <filterColumn colId="1" showButton="0"/>
    <filterColumn colId="3" showButton="0"/>
  </autoFilter>
  <mergeCells count="170">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 ref="C119:D119"/>
    <mergeCell ref="E119:F119"/>
    <mergeCell ref="C120:D120"/>
    <mergeCell ref="E120:F120"/>
    <mergeCell ref="C118:D118"/>
    <mergeCell ref="E118:F118"/>
    <mergeCell ref="C117:D117"/>
    <mergeCell ref="E117:F117"/>
    <mergeCell ref="C115:D115"/>
    <mergeCell ref="E115:F115"/>
    <mergeCell ref="C116:D116"/>
    <mergeCell ref="E116:F11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x14ac:dyDescent="0.2"/>
  <cols>
    <col min="1" max="1" width="32.140625" style="138" customWidth="1"/>
    <col min="2" max="2" width="38.42578125" style="138" bestFit="1" customWidth="1"/>
    <col min="3" max="3" width="21.7109375" style="138" customWidth="1"/>
    <col min="4" max="4" width="10.85546875" style="138"/>
    <col min="5" max="5" width="20.42578125" style="138" customWidth="1"/>
    <col min="6" max="6" width="16.5703125" style="138" customWidth="1"/>
    <col min="7" max="7" width="10.85546875" style="138"/>
    <col min="8" max="8" width="16" style="138" customWidth="1"/>
    <col min="9" max="9" width="21" style="138" customWidth="1"/>
    <col min="10" max="10" width="10.85546875" style="138"/>
    <col min="11" max="11" width="20.85546875" style="138" customWidth="1"/>
    <col min="12" max="12" width="10.85546875" style="138"/>
    <col min="13" max="13" width="21" style="138" customWidth="1"/>
    <col min="14" max="15" width="10.85546875" style="138"/>
    <col min="16" max="16" width="14.85546875" style="138" customWidth="1"/>
    <col min="17" max="17" width="10.85546875" style="138"/>
    <col min="18" max="18" width="16.42578125" style="138" customWidth="1"/>
    <col min="19" max="19" width="10.85546875" style="138"/>
    <col min="20" max="20" width="30.140625" style="138" customWidth="1"/>
    <col min="21" max="16384" width="10.85546875" style="138"/>
  </cols>
  <sheetData>
    <row r="1" spans="1:22" ht="25.5" customHeight="1" x14ac:dyDescent="0.2">
      <c r="A1" s="523" t="s">
        <v>269</v>
      </c>
      <c r="B1" s="523"/>
      <c r="E1" s="522" t="s">
        <v>127</v>
      </c>
      <c r="F1" s="522"/>
      <c r="G1" s="522"/>
      <c r="H1" s="522"/>
    </row>
    <row r="2" spans="1:22" ht="48.95" customHeight="1" x14ac:dyDescent="0.2">
      <c r="B2" s="151" t="s">
        <v>45</v>
      </c>
      <c r="C2" s="151"/>
      <c r="E2" s="521" t="s">
        <v>99</v>
      </c>
      <c r="F2" s="521"/>
      <c r="G2" s="521"/>
      <c r="H2" s="521"/>
      <c r="I2" s="521"/>
      <c r="K2" s="521" t="s">
        <v>90</v>
      </c>
      <c r="L2" s="521"/>
      <c r="M2" s="521"/>
      <c r="O2" s="521" t="s">
        <v>108</v>
      </c>
      <c r="P2" s="521"/>
      <c r="R2" s="139" t="s">
        <v>119</v>
      </c>
      <c r="T2" s="139" t="s">
        <v>148</v>
      </c>
      <c r="V2" s="83" t="s">
        <v>126</v>
      </c>
    </row>
    <row r="3" spans="1:22" ht="29.25" thickBot="1" x14ac:dyDescent="0.25">
      <c r="A3" s="140" t="s">
        <v>8</v>
      </c>
      <c r="B3" s="151" t="s">
        <v>8</v>
      </c>
      <c r="C3" s="151" t="s">
        <v>45</v>
      </c>
      <c r="E3" s="141" t="s">
        <v>84</v>
      </c>
      <c r="F3" s="141" t="s">
        <v>85</v>
      </c>
      <c r="H3" s="141" t="s">
        <v>86</v>
      </c>
      <c r="I3" s="141" t="s">
        <v>87</v>
      </c>
      <c r="K3" s="139" t="s">
        <v>91</v>
      </c>
      <c r="L3" s="139" t="s">
        <v>3</v>
      </c>
      <c r="M3" s="139" t="s">
        <v>96</v>
      </c>
      <c r="O3" s="145" t="s">
        <v>84</v>
      </c>
      <c r="P3" s="145" t="s">
        <v>194</v>
      </c>
      <c r="R3" s="140" t="s">
        <v>120</v>
      </c>
      <c r="T3" s="18" t="s">
        <v>132</v>
      </c>
      <c r="V3" s="65" t="s">
        <v>137</v>
      </c>
    </row>
    <row r="4" spans="1:22" ht="28.5" x14ac:dyDescent="0.2">
      <c r="A4" s="150" t="s">
        <v>150</v>
      </c>
      <c r="B4" s="153" t="s">
        <v>150</v>
      </c>
      <c r="C4" s="165" t="s">
        <v>128</v>
      </c>
      <c r="E4" s="140" t="s">
        <v>100</v>
      </c>
      <c r="F4" s="142">
        <v>0.25</v>
      </c>
      <c r="H4" s="140" t="s">
        <v>88</v>
      </c>
      <c r="I4" s="142">
        <v>0.25</v>
      </c>
      <c r="K4" s="140" t="s">
        <v>92</v>
      </c>
      <c r="L4" s="140" t="s">
        <v>94</v>
      </c>
      <c r="M4" s="140" t="s">
        <v>97</v>
      </c>
      <c r="O4" s="140" t="s">
        <v>100</v>
      </c>
      <c r="P4" s="186" t="s">
        <v>48</v>
      </c>
      <c r="R4" s="140" t="s">
        <v>121</v>
      </c>
      <c r="T4" s="18" t="s">
        <v>133</v>
      </c>
      <c r="V4" s="65" t="s">
        <v>139</v>
      </c>
    </row>
    <row r="5" spans="1:22" ht="29.25" thickBot="1" x14ac:dyDescent="0.25">
      <c r="A5" s="150" t="s">
        <v>151</v>
      </c>
      <c r="B5" s="157"/>
      <c r="C5" s="166"/>
      <c r="E5" s="140" t="s">
        <v>101</v>
      </c>
      <c r="F5" s="142">
        <v>0.15</v>
      </c>
      <c r="H5" s="140" t="s">
        <v>89</v>
      </c>
      <c r="I5" s="142">
        <v>0.15</v>
      </c>
      <c r="K5" s="140" t="s">
        <v>93</v>
      </c>
      <c r="L5" s="140" t="s">
        <v>95</v>
      </c>
      <c r="M5" s="140" t="s">
        <v>98</v>
      </c>
      <c r="O5" s="140" t="s">
        <v>101</v>
      </c>
      <c r="P5" s="186" t="s">
        <v>48</v>
      </c>
      <c r="R5" s="140" t="s">
        <v>122</v>
      </c>
      <c r="T5" s="18" t="s">
        <v>134</v>
      </c>
      <c r="V5" s="65" t="s">
        <v>138</v>
      </c>
    </row>
    <row r="6" spans="1:22" ht="28.5" x14ac:dyDescent="0.2">
      <c r="A6" s="150" t="s">
        <v>152</v>
      </c>
      <c r="B6" s="159" t="s">
        <v>151</v>
      </c>
      <c r="C6" s="167" t="s">
        <v>135</v>
      </c>
      <c r="E6" s="140" t="s">
        <v>102</v>
      </c>
      <c r="F6" s="142">
        <v>0.1</v>
      </c>
      <c r="H6" s="140"/>
      <c r="I6" s="140"/>
      <c r="K6" s="140"/>
      <c r="L6" s="140"/>
      <c r="M6" s="140"/>
      <c r="O6" s="140" t="s">
        <v>102</v>
      </c>
      <c r="P6" s="186" t="s">
        <v>81</v>
      </c>
      <c r="R6" s="140" t="s">
        <v>123</v>
      </c>
      <c r="T6" s="18" t="s">
        <v>256</v>
      </c>
      <c r="V6" s="140"/>
    </row>
    <row r="7" spans="1:22" ht="13.5" thickBot="1" x14ac:dyDescent="0.25">
      <c r="A7" s="150" t="s">
        <v>153</v>
      </c>
      <c r="B7" s="157"/>
      <c r="C7" s="166"/>
      <c r="E7" s="140"/>
      <c r="F7" s="142"/>
      <c r="O7" s="143"/>
      <c r="R7" s="140" t="s">
        <v>124</v>
      </c>
    </row>
    <row r="8" spans="1:22" x14ac:dyDescent="0.2">
      <c r="A8" s="150" t="s">
        <v>154</v>
      </c>
      <c r="B8" s="159" t="s">
        <v>152</v>
      </c>
      <c r="C8" s="167" t="s">
        <v>71</v>
      </c>
      <c r="R8" s="140"/>
    </row>
    <row r="9" spans="1:22" ht="26.25" thickBot="1" x14ac:dyDescent="0.25">
      <c r="A9" s="150" t="s">
        <v>155</v>
      </c>
      <c r="B9" s="161"/>
      <c r="C9" s="166"/>
    </row>
    <row r="10" spans="1:22" x14ac:dyDescent="0.2">
      <c r="A10" s="150" t="s">
        <v>156</v>
      </c>
      <c r="B10" s="159" t="s">
        <v>153</v>
      </c>
      <c r="C10" s="167" t="s">
        <v>129</v>
      </c>
    </row>
    <row r="11" spans="1:22" ht="14.1" customHeight="1" thickBot="1" x14ac:dyDescent="0.25">
      <c r="A11" s="152"/>
      <c r="B11" s="157"/>
      <c r="C11" s="166"/>
    </row>
    <row r="12" spans="1:22" ht="14.1" customHeight="1" x14ac:dyDescent="0.2">
      <c r="B12" s="159" t="s">
        <v>154</v>
      </c>
      <c r="C12" s="160" t="s">
        <v>128</v>
      </c>
    </row>
    <row r="13" spans="1:22" ht="14.1" customHeight="1" x14ac:dyDescent="0.2">
      <c r="B13" s="156"/>
      <c r="C13" s="155" t="s">
        <v>135</v>
      </c>
    </row>
    <row r="14" spans="1:22" ht="14.1" customHeight="1" x14ac:dyDescent="0.2">
      <c r="B14" s="154"/>
      <c r="C14" s="155" t="s">
        <v>71</v>
      </c>
    </row>
    <row r="15" spans="1:22" ht="14.1" customHeight="1" x14ac:dyDescent="0.2">
      <c r="B15" s="154"/>
      <c r="C15" s="155" t="s">
        <v>129</v>
      </c>
    </row>
    <row r="16" spans="1:22" ht="14.1" customHeight="1" x14ac:dyDescent="0.2">
      <c r="B16" s="154"/>
      <c r="C16" s="155" t="s">
        <v>43</v>
      </c>
    </row>
    <row r="17" spans="2:3" ht="14.1" customHeight="1" thickBot="1" x14ac:dyDescent="0.25">
      <c r="B17" s="157"/>
      <c r="C17" s="158"/>
    </row>
    <row r="18" spans="2:3" ht="25.5" x14ac:dyDescent="0.2">
      <c r="B18" s="159" t="s">
        <v>155</v>
      </c>
      <c r="C18" s="160" t="s">
        <v>128</v>
      </c>
    </row>
    <row r="19" spans="2:3" ht="14.1" customHeight="1" x14ac:dyDescent="0.2">
      <c r="B19" s="154"/>
      <c r="C19" s="155" t="s">
        <v>135</v>
      </c>
    </row>
    <row r="20" spans="2:3" ht="14.1" customHeight="1" x14ac:dyDescent="0.2">
      <c r="B20" s="154"/>
      <c r="C20" s="155" t="s">
        <v>71</v>
      </c>
    </row>
    <row r="21" spans="2:3" ht="14.1" customHeight="1" x14ac:dyDescent="0.2">
      <c r="B21" s="154"/>
      <c r="C21" s="155" t="s">
        <v>129</v>
      </c>
    </row>
    <row r="22" spans="2:3" ht="14.1" customHeight="1" x14ac:dyDescent="0.2">
      <c r="B22" s="154"/>
      <c r="C22" s="155" t="s">
        <v>43</v>
      </c>
    </row>
    <row r="23" spans="2:3" ht="14.1" customHeight="1" thickBot="1" x14ac:dyDescent="0.25">
      <c r="B23" s="161"/>
      <c r="C23" s="162"/>
    </row>
    <row r="24" spans="2:3" ht="14.1" customHeight="1" x14ac:dyDescent="0.2">
      <c r="B24" s="159" t="s">
        <v>156</v>
      </c>
      <c r="C24" s="160" t="s">
        <v>43</v>
      </c>
    </row>
    <row r="25" spans="2:3" ht="14.1" customHeight="1" x14ac:dyDescent="0.2">
      <c r="B25" s="154"/>
      <c r="C25" s="155" t="s">
        <v>135</v>
      </c>
    </row>
    <row r="26" spans="2:3" ht="14.1" customHeight="1" thickBot="1" x14ac:dyDescent="0.25">
      <c r="B26" s="157"/>
      <c r="C26" s="158"/>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7"/>
  <sheetViews>
    <sheetView showGridLines="0" topLeftCell="A9" zoomScale="70" zoomScaleNormal="70" workbookViewId="0">
      <selection activeCell="A12" sqref="A12"/>
    </sheetView>
  </sheetViews>
  <sheetFormatPr baseColWidth="10" defaultColWidth="11.42578125" defaultRowHeight="14.25" x14ac:dyDescent="0.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x14ac:dyDescent="0.2">
      <c r="A1" s="222"/>
      <c r="B1" s="222"/>
      <c r="C1" s="223"/>
      <c r="D1" s="224"/>
      <c r="G1" s="163"/>
      <c r="H1" s="163"/>
      <c r="I1" s="163"/>
    </row>
    <row r="2" spans="1:9" ht="27.75" customHeight="1" x14ac:dyDescent="0.25">
      <c r="A2" s="19" t="s">
        <v>149</v>
      </c>
      <c r="B2" s="432" t="s">
        <v>298</v>
      </c>
      <c r="C2" s="432"/>
      <c r="D2" s="433"/>
      <c r="E2" s="433"/>
      <c r="F2" s="149"/>
      <c r="G2" s="147"/>
    </row>
    <row r="3" spans="1:9" ht="15" x14ac:dyDescent="0.25">
      <c r="A3" s="217"/>
      <c r="B3" s="219"/>
      <c r="C3" s="219"/>
      <c r="D3" s="220"/>
      <c r="E3" s="221"/>
      <c r="F3" s="218"/>
      <c r="G3" s="221"/>
    </row>
    <row r="4" spans="1:9" ht="21" customHeight="1" x14ac:dyDescent="0.25">
      <c r="A4" s="431" t="s">
        <v>212</v>
      </c>
      <c r="B4" s="431" t="s">
        <v>72</v>
      </c>
      <c r="C4" s="431" t="s">
        <v>131</v>
      </c>
      <c r="D4" s="431" t="s">
        <v>130</v>
      </c>
      <c r="E4" s="431" t="s">
        <v>44</v>
      </c>
      <c r="F4" s="431" t="s">
        <v>45</v>
      </c>
      <c r="G4" s="431"/>
    </row>
    <row r="5" spans="1:9" ht="57" customHeight="1" x14ac:dyDescent="0.25">
      <c r="A5" s="431"/>
      <c r="B5" s="431"/>
      <c r="C5" s="431"/>
      <c r="D5" s="431"/>
      <c r="E5" s="431"/>
      <c r="F5" s="144" t="s">
        <v>8</v>
      </c>
      <c r="G5" s="144" t="s">
        <v>158</v>
      </c>
      <c r="H5" s="144" t="s">
        <v>159</v>
      </c>
      <c r="I5" s="144" t="s">
        <v>157</v>
      </c>
    </row>
    <row r="6" spans="1:9" s="11" customFormat="1" ht="178.5" customHeight="1" x14ac:dyDescent="0.25">
      <c r="A6" s="2" t="s">
        <v>275</v>
      </c>
      <c r="B6" s="2" t="s">
        <v>134</v>
      </c>
      <c r="C6" s="2" t="s">
        <v>296</v>
      </c>
      <c r="D6" s="2" t="s">
        <v>297</v>
      </c>
      <c r="E6" s="316" t="str">
        <f>+CONCATENATE(B6," ",C6," ",D6)</f>
        <v>Posibilidad de pérdida Económica y Reputacional por contaminación ambiental a causa de las descargas de aguas residuales debido a la falta de seguimiento y control a los vertimientos realizados por usuarios diferentes al residencial que hacen uso del alcantarillado público y a la infraestructura de las redes de alcantarillado en condiciones inadecuadas.</v>
      </c>
      <c r="F6" s="2" t="s">
        <v>150</v>
      </c>
      <c r="G6" s="3"/>
      <c r="H6" s="164" t="str">
        <f>+IF(F6='11 FORMULAS'!$B$4,'11 FORMULAS'!$C$4,IF(F6='11 FORMULAS'!$B$6,'11 FORMULAS'!$C$6,IF(F6='11 FORMULAS'!$B$8,'11 FORMULAS'!$C$8,IF(F6='11 FORMULAS'!$B$10,'11 FORMULAS'!$C$10,""))))</f>
        <v>Procesos</v>
      </c>
      <c r="I6" s="317" t="str">
        <f>+G6&amp;H6</f>
        <v>Procesos</v>
      </c>
    </row>
    <row r="7" spans="1:9" ht="161.25" customHeight="1" x14ac:dyDescent="0.25">
      <c r="A7" s="2" t="s">
        <v>11</v>
      </c>
      <c r="B7" s="2" t="s">
        <v>134</v>
      </c>
      <c r="C7" s="2" t="s">
        <v>276</v>
      </c>
      <c r="D7" s="2" t="s">
        <v>277</v>
      </c>
      <c r="E7" s="316" t="str">
        <f t="shared" ref="E7:E23" si="0">+CONCATENATE(B7," ",C7," ",D7)</f>
        <v>Posibilidad de pérdida Económica y Reputacional por la atención inoportuna de las solicitudes de reparación de alcantarillado debido a la falta de seguimiento a las ordenes de trabajo generadas, falta de personal operativo para los grupos de trabajo y falta de asignación de recursos o de disponibilidad de materiales.</v>
      </c>
      <c r="F7" s="2" t="s">
        <v>155</v>
      </c>
      <c r="G7" s="2" t="s">
        <v>128</v>
      </c>
      <c r="H7" s="164" t="str">
        <f>+IF(F7='11 FORMULAS'!$B$4,'11 FORMULAS'!$C$4,IF(F7='11 FORMULAS'!$B$6,'11 FORMULAS'!$C$6,IF(F7='11 FORMULAS'!$B$8,'11 FORMULAS'!$C$8,IF(F7='11 FORMULAS'!$B$10,'11 FORMULAS'!$C$10,""))))</f>
        <v/>
      </c>
      <c r="I7" s="317" t="str">
        <f t="shared" ref="I7:I23" si="1">+G7&amp;H7</f>
        <v>Procesos</v>
      </c>
    </row>
    <row r="8" spans="1:9" ht="160.5" customHeight="1" x14ac:dyDescent="0.25">
      <c r="A8" s="2" t="s">
        <v>12</v>
      </c>
      <c r="B8" s="2" t="s">
        <v>134</v>
      </c>
      <c r="C8" s="2" t="s">
        <v>278</v>
      </c>
      <c r="D8" s="2" t="s">
        <v>285</v>
      </c>
      <c r="E8" s="316" t="str">
        <f t="shared" si="0"/>
        <v>Posibilidad de pérdida Económica y Reputacional por la falta de atención a las afectaciones generadas por actividades de alcantarillado debido a que la parametrización del software permite el cierre de ordenes de trabajo con actividades pendientes.</v>
      </c>
      <c r="F8" s="2" t="s">
        <v>155</v>
      </c>
      <c r="G8" s="2" t="s">
        <v>128</v>
      </c>
      <c r="H8" s="164" t="str">
        <f>+IF(F8='11 FORMULAS'!$B$4,'11 FORMULAS'!$C$4,IF(F8='11 FORMULAS'!$B$6,'11 FORMULAS'!$C$6,IF(F8='11 FORMULAS'!$B$8,'11 FORMULAS'!$C$8,IF(F8='11 FORMULAS'!$B$10,'11 FORMULAS'!$C$10,""))))</f>
        <v/>
      </c>
      <c r="I8" s="317" t="str">
        <f t="shared" si="1"/>
        <v>Procesos</v>
      </c>
    </row>
    <row r="9" spans="1:9" ht="99.75" x14ac:dyDescent="0.25">
      <c r="A9" s="2" t="s">
        <v>13</v>
      </c>
      <c r="B9" s="2" t="s">
        <v>134</v>
      </c>
      <c r="C9" s="2" t="s">
        <v>302</v>
      </c>
      <c r="D9" s="2" t="s">
        <v>303</v>
      </c>
      <c r="E9" s="148" t="str">
        <f t="shared" si="0"/>
        <v>Posibilidad de pérdida Económica y Reputacional Por la captacion del caudal de las plantas de tratamiento  de los municipios  por encima del lt/s consecionados  Debido a la falta de medicion en el sistema de las bocatomas</v>
      </c>
      <c r="F9" s="3" t="s">
        <v>150</v>
      </c>
      <c r="G9" s="2" t="s">
        <v>128</v>
      </c>
      <c r="H9" s="164" t="str">
        <f>+IF(F9='11 FORMULAS'!$B$4,'11 FORMULAS'!$C$4,IF(F9='11 FORMULAS'!$B$6,'11 FORMULAS'!$C$6,IF(F9='11 FORMULAS'!$B$8,'11 FORMULAS'!$C$8,IF(F9='11 FORMULAS'!$B$10,'11 FORMULAS'!$C$10,""))))</f>
        <v>Procesos</v>
      </c>
      <c r="I9" s="164" t="str">
        <f t="shared" si="1"/>
        <v>ProcesosProcesos</v>
      </c>
    </row>
    <row r="10" spans="1:9" ht="114" x14ac:dyDescent="0.25">
      <c r="A10" s="2" t="s">
        <v>14</v>
      </c>
      <c r="B10" s="2" t="s">
        <v>134</v>
      </c>
      <c r="C10" s="2" t="s">
        <v>304</v>
      </c>
      <c r="D10" s="2" t="s">
        <v>305</v>
      </c>
      <c r="E10" s="148" t="str">
        <f t="shared" si="0"/>
        <v>Posibilidad de pérdida Económica y Reputacional por condiciones de calidad de agua cruda que no permite tratabilidad y afectaciones de tipo climático debido a crecientes que generan arrastre de solidos y elevacion en los niveles de turbierdad en agua cruda</v>
      </c>
      <c r="F10" s="3" t="s">
        <v>155</v>
      </c>
      <c r="G10" s="3" t="s">
        <v>128</v>
      </c>
      <c r="H10" s="164" t="str">
        <f>+IF(F10='11 FORMULAS'!$B$4,'11 FORMULAS'!$C$4,IF(F10='11 FORMULAS'!$B$6,'11 FORMULAS'!$C$6,IF(F10='11 FORMULAS'!$B$8,'11 FORMULAS'!$C$8,IF(F10='11 FORMULAS'!$B$10,'11 FORMULAS'!$C$10,""))))</f>
        <v/>
      </c>
      <c r="I10" s="164" t="str">
        <f t="shared" si="1"/>
        <v>Procesos</v>
      </c>
    </row>
    <row r="11" spans="1:9" ht="128.25" x14ac:dyDescent="0.25">
      <c r="A11" s="2" t="s">
        <v>15</v>
      </c>
      <c r="B11" s="2" t="s">
        <v>134</v>
      </c>
      <c r="C11" s="2" t="s">
        <v>306</v>
      </c>
      <c r="D11" s="2" t="s">
        <v>307</v>
      </c>
      <c r="E11" s="148" t="str">
        <f t="shared" si="0"/>
        <v>Posibilidad de pérdida Económica y Reputacional por el aumento en el índice de agua no contabilizada por pérdidas técnicas  debido a la infraestructura de produccion ,almacenameinto y distribucion en condiciones inadecuadas,  y la reparación inoportuna de fugas y daños en las redes de acueducto.</v>
      </c>
      <c r="F11" s="3" t="s">
        <v>156</v>
      </c>
      <c r="G11" s="3" t="s">
        <v>43</v>
      </c>
      <c r="H11" s="164" t="str">
        <f>+IF(F11='11 FORMULAS'!$B$4,'11 FORMULAS'!$C$4,IF(F11='11 FORMULAS'!$B$6,'11 FORMULAS'!$C$6,IF(F11='11 FORMULAS'!$B$8,'11 FORMULAS'!$C$8,IF(F11='11 FORMULAS'!$B$10,'11 FORMULAS'!$C$10,""))))</f>
        <v/>
      </c>
      <c r="I11" s="164" t="str">
        <f t="shared" si="1"/>
        <v>Infraestructura</v>
      </c>
    </row>
    <row r="12" spans="1:9" s="12" customFormat="1" ht="142.5" x14ac:dyDescent="0.25">
      <c r="A12" s="2" t="s">
        <v>16</v>
      </c>
      <c r="B12" s="2" t="s">
        <v>134</v>
      </c>
      <c r="C12" s="2" t="s">
        <v>308</v>
      </c>
      <c r="D12" s="2" t="s">
        <v>277</v>
      </c>
      <c r="E12" s="148" t="str">
        <f t="shared" si="0"/>
        <v>Posibilidad de pérdida Económica y Reputacional por la atención inoportuna de las solicitudes de reparación de acueducto debido a la falta de seguimiento a las ordenes de trabajo generadas, falta de personal operativo para los grupos de trabajo y falta de asignación de recursos o de disponibilidad de materiales.</v>
      </c>
      <c r="F12" s="3" t="s">
        <v>155</v>
      </c>
      <c r="G12" s="3" t="s">
        <v>128</v>
      </c>
      <c r="H12" s="164" t="str">
        <f>+IF(F12='11 FORMULAS'!$B$4,'11 FORMULAS'!$C$4,IF(F12='11 FORMULAS'!$B$6,'11 FORMULAS'!$C$6,IF(F12='11 FORMULAS'!$B$8,'11 FORMULAS'!$C$8,IF(F12='11 FORMULAS'!$B$10,'11 FORMULAS'!$C$10,""))))</f>
        <v/>
      </c>
      <c r="I12" s="164" t="str">
        <f t="shared" si="1"/>
        <v>Procesos</v>
      </c>
    </row>
    <row r="13" spans="1:9" s="12" customFormat="1" ht="35.1" customHeight="1" x14ac:dyDescent="0.25">
      <c r="A13" s="2" t="s">
        <v>28</v>
      </c>
      <c r="B13" s="2"/>
      <c r="C13" s="2"/>
      <c r="D13" s="2"/>
      <c r="E13" s="148" t="str">
        <f t="shared" si="0"/>
        <v xml:space="preserve">  </v>
      </c>
      <c r="F13" s="3"/>
      <c r="G13" s="3"/>
      <c r="H13" s="164" t="str">
        <f>+IF(F13='11 FORMULAS'!$B$4,'11 FORMULAS'!$C$4,IF(F13='11 FORMULAS'!$B$6,'11 FORMULAS'!$C$6,IF(F13='11 FORMULAS'!$B$8,'11 FORMULAS'!$C$8,IF(F13='11 FORMULAS'!$B$10,'11 FORMULAS'!$C$10,""))))</f>
        <v/>
      </c>
      <c r="I13" s="164" t="str">
        <f t="shared" si="1"/>
        <v/>
      </c>
    </row>
    <row r="14" spans="1:9" s="12" customFormat="1" ht="35.1" customHeight="1" x14ac:dyDescent="0.25">
      <c r="A14" s="2" t="s">
        <v>29</v>
      </c>
      <c r="B14" s="2"/>
      <c r="C14" s="2"/>
      <c r="D14" s="2"/>
      <c r="E14" s="148" t="str">
        <f t="shared" si="0"/>
        <v xml:space="preserve">  </v>
      </c>
      <c r="F14" s="3"/>
      <c r="G14" s="3"/>
      <c r="H14" s="164" t="str">
        <f>+IF(F14='11 FORMULAS'!$B$4,'11 FORMULAS'!$C$4,IF(F14='11 FORMULAS'!$B$6,'11 FORMULAS'!$C$6,IF(F14='11 FORMULAS'!$B$8,'11 FORMULAS'!$C$8,IF(F14='11 FORMULAS'!$B$10,'11 FORMULAS'!$C$10,""))))</f>
        <v/>
      </c>
      <c r="I14" s="164" t="str">
        <f t="shared" si="1"/>
        <v/>
      </c>
    </row>
    <row r="15" spans="1:9" s="12" customFormat="1" ht="35.1" customHeight="1" x14ac:dyDescent="0.25">
      <c r="A15" s="2" t="s">
        <v>30</v>
      </c>
      <c r="B15" s="2"/>
      <c r="C15" s="2"/>
      <c r="D15" s="2"/>
      <c r="E15" s="148" t="str">
        <f t="shared" si="0"/>
        <v xml:space="preserve">  </v>
      </c>
      <c r="F15" s="3"/>
      <c r="G15" s="3"/>
      <c r="H15" s="164" t="str">
        <f>+IF(F15='11 FORMULAS'!$B$4,'11 FORMULAS'!$C$4,IF(F15='11 FORMULAS'!$B$6,'11 FORMULAS'!$C$6,IF(F15='11 FORMULAS'!$B$8,'11 FORMULAS'!$C$8,IF(F15='11 FORMULAS'!$B$10,'11 FORMULAS'!$C$10,""))))</f>
        <v/>
      </c>
      <c r="I15" s="164" t="str">
        <f t="shared" si="1"/>
        <v/>
      </c>
    </row>
    <row r="16" spans="1:9" s="12" customFormat="1" ht="35.1" customHeight="1" x14ac:dyDescent="0.25">
      <c r="A16" s="2" t="s">
        <v>31</v>
      </c>
      <c r="B16" s="2"/>
      <c r="C16" s="2"/>
      <c r="D16" s="2"/>
      <c r="E16" s="148" t="str">
        <f t="shared" si="0"/>
        <v xml:space="preserve">  </v>
      </c>
      <c r="F16" s="3"/>
      <c r="G16" s="3"/>
      <c r="H16" s="164" t="str">
        <f>+IF(F16='11 FORMULAS'!$B$4,'11 FORMULAS'!$C$4,IF(F16='11 FORMULAS'!$B$6,'11 FORMULAS'!$C$6,IF(F16='11 FORMULAS'!$B$8,'11 FORMULAS'!$C$8,IF(F16='11 FORMULAS'!$B$10,'11 FORMULAS'!$C$10,""))))</f>
        <v/>
      </c>
      <c r="I16" s="164" t="str">
        <f t="shared" si="1"/>
        <v/>
      </c>
    </row>
    <row r="17" spans="1:9" s="12" customFormat="1" ht="35.1" customHeight="1" x14ac:dyDescent="0.25">
      <c r="A17" s="2" t="s">
        <v>32</v>
      </c>
      <c r="B17" s="2"/>
      <c r="C17" s="2"/>
      <c r="D17" s="2"/>
      <c r="E17" s="148" t="str">
        <f t="shared" si="0"/>
        <v xml:space="preserve">  </v>
      </c>
      <c r="F17" s="3"/>
      <c r="G17" s="3"/>
      <c r="H17" s="164" t="str">
        <f>+IF(F17='11 FORMULAS'!$B$4,'11 FORMULAS'!$C$4,IF(F17='11 FORMULAS'!$B$6,'11 FORMULAS'!$C$6,IF(F17='11 FORMULAS'!$B$8,'11 FORMULAS'!$C$8,IF(F17='11 FORMULAS'!$B$10,'11 FORMULAS'!$C$10,""))))</f>
        <v/>
      </c>
      <c r="I17" s="164" t="str">
        <f t="shared" si="1"/>
        <v/>
      </c>
    </row>
    <row r="18" spans="1:9" s="12" customFormat="1" ht="35.1" customHeight="1" x14ac:dyDescent="0.25">
      <c r="A18" s="2" t="s">
        <v>33</v>
      </c>
      <c r="B18" s="2"/>
      <c r="C18" s="2"/>
      <c r="D18" s="2"/>
      <c r="E18" s="148" t="str">
        <f t="shared" si="0"/>
        <v xml:space="preserve">  </v>
      </c>
      <c r="F18" s="3"/>
      <c r="G18" s="3"/>
      <c r="H18" s="164" t="str">
        <f>+IF(F18='11 FORMULAS'!$B$4,'11 FORMULAS'!$C$4,IF(F18='11 FORMULAS'!$B$6,'11 FORMULAS'!$C$6,IF(F18='11 FORMULAS'!$B$8,'11 FORMULAS'!$C$8,IF(F18='11 FORMULAS'!$B$10,'11 FORMULAS'!$C$10,""))))</f>
        <v/>
      </c>
      <c r="I18" s="164" t="str">
        <f t="shared" si="1"/>
        <v/>
      </c>
    </row>
    <row r="19" spans="1:9" s="12" customFormat="1" ht="35.1" customHeight="1" x14ac:dyDescent="0.25">
      <c r="A19" s="2" t="s">
        <v>34</v>
      </c>
      <c r="B19" s="2"/>
      <c r="C19" s="2"/>
      <c r="D19" s="2"/>
      <c r="E19" s="148" t="str">
        <f t="shared" si="0"/>
        <v xml:space="preserve">  </v>
      </c>
      <c r="F19" s="3"/>
      <c r="G19" s="3"/>
      <c r="H19" s="164" t="str">
        <f>+IF(F19='11 FORMULAS'!$B$4,'11 FORMULAS'!$C$4,IF(F19='11 FORMULAS'!$B$6,'11 FORMULAS'!$C$6,IF(F19='11 FORMULAS'!$B$8,'11 FORMULAS'!$C$8,IF(F19='11 FORMULAS'!$B$10,'11 FORMULAS'!$C$10,""))))</f>
        <v/>
      </c>
      <c r="I19" s="164" t="str">
        <f t="shared" si="1"/>
        <v/>
      </c>
    </row>
    <row r="20" spans="1:9" s="12" customFormat="1" ht="35.1" customHeight="1" x14ac:dyDescent="0.25">
      <c r="A20" s="2" t="s">
        <v>35</v>
      </c>
      <c r="B20" s="2"/>
      <c r="C20" s="2"/>
      <c r="D20" s="2"/>
      <c r="E20" s="148" t="str">
        <f t="shared" si="0"/>
        <v xml:space="preserve">  </v>
      </c>
      <c r="F20" s="3"/>
      <c r="G20" s="3"/>
      <c r="H20" s="164" t="str">
        <f>+IF(F20='11 FORMULAS'!$B$4,'11 FORMULAS'!$C$4,IF(F20='11 FORMULAS'!$B$6,'11 FORMULAS'!$C$6,IF(F20='11 FORMULAS'!$B$8,'11 FORMULAS'!$C$8,IF(F20='11 FORMULAS'!$B$10,'11 FORMULAS'!$C$10,""))))</f>
        <v/>
      </c>
      <c r="I20" s="164" t="str">
        <f t="shared" si="1"/>
        <v/>
      </c>
    </row>
    <row r="21" spans="1:9" s="12" customFormat="1" ht="35.1" customHeight="1" x14ac:dyDescent="0.25">
      <c r="A21" s="2" t="s">
        <v>36</v>
      </c>
      <c r="B21" s="2"/>
      <c r="C21" s="2"/>
      <c r="D21" s="2"/>
      <c r="E21" s="148" t="str">
        <f t="shared" si="0"/>
        <v xml:space="preserve">  </v>
      </c>
      <c r="F21" s="3"/>
      <c r="G21" s="3"/>
      <c r="H21" s="164" t="str">
        <f>+IF(F21='11 FORMULAS'!$B$4,'11 FORMULAS'!$C$4,IF(F21='11 FORMULAS'!$B$6,'11 FORMULAS'!$C$6,IF(F21='11 FORMULAS'!$B$8,'11 FORMULAS'!$C$8,IF(F21='11 FORMULAS'!$B$10,'11 FORMULAS'!$C$10,""))))</f>
        <v/>
      </c>
      <c r="I21" s="164" t="str">
        <f t="shared" si="1"/>
        <v/>
      </c>
    </row>
    <row r="22" spans="1:9" s="12" customFormat="1" ht="35.1" customHeight="1" x14ac:dyDescent="0.25">
      <c r="A22" s="2" t="s">
        <v>37</v>
      </c>
      <c r="B22" s="2"/>
      <c r="C22" s="2"/>
      <c r="D22" s="2"/>
      <c r="E22" s="148" t="str">
        <f t="shared" si="0"/>
        <v xml:space="preserve">  </v>
      </c>
      <c r="F22" s="3"/>
      <c r="G22" s="3"/>
      <c r="H22" s="164" t="str">
        <f>+IF(F22='11 FORMULAS'!$B$4,'11 FORMULAS'!$C$4,IF(F22='11 FORMULAS'!$B$6,'11 FORMULAS'!$C$6,IF(F22='11 FORMULAS'!$B$8,'11 FORMULAS'!$C$8,IF(F22='11 FORMULAS'!$B$10,'11 FORMULAS'!$C$10,""))))</f>
        <v/>
      </c>
      <c r="I22" s="164" t="str">
        <f t="shared" si="1"/>
        <v/>
      </c>
    </row>
    <row r="23" spans="1:9" s="12" customFormat="1" ht="35.1" customHeight="1" x14ac:dyDescent="0.25">
      <c r="A23" s="2" t="s">
        <v>38</v>
      </c>
      <c r="B23" s="2"/>
      <c r="C23" s="2"/>
      <c r="D23" s="2"/>
      <c r="E23" s="148" t="str">
        <f t="shared" si="0"/>
        <v xml:space="preserve">  </v>
      </c>
      <c r="F23" s="3"/>
      <c r="G23" s="3"/>
      <c r="H23" s="164" t="str">
        <f>+IF(F23='11 FORMULAS'!$B$4,'11 FORMULAS'!$C$4,IF(F23='11 FORMULAS'!$B$6,'11 FORMULAS'!$C$6,IF(F23='11 FORMULAS'!$B$8,'11 FORMULAS'!$C$8,IF(F23='11 FORMULAS'!$B$10,'11 FORMULAS'!$C$10,""))))</f>
        <v/>
      </c>
      <c r="I23" s="164" t="str">
        <f t="shared" si="1"/>
        <v/>
      </c>
    </row>
    <row r="24" spans="1:9" s="12" customFormat="1" ht="18" x14ac:dyDescent="0.25">
      <c r="A24" s="13"/>
      <c r="B24" s="13"/>
      <c r="C24" s="13"/>
      <c r="D24" s="13"/>
      <c r="E24" s="14"/>
      <c r="F24" s="15"/>
      <c r="G24" s="15"/>
    </row>
    <row r="25" spans="1:9" x14ac:dyDescent="0.2">
      <c r="A25" s="9"/>
      <c r="B25" s="9"/>
      <c r="C25" s="9"/>
      <c r="D25" s="9"/>
      <c r="F25" s="9"/>
      <c r="G25" s="163"/>
    </row>
    <row r="26" spans="1:9" x14ac:dyDescent="0.2">
      <c r="A26" s="9"/>
      <c r="B26" s="9"/>
      <c r="C26" s="9"/>
      <c r="D26" s="9"/>
      <c r="F26" s="9"/>
      <c r="G26" s="163"/>
    </row>
    <row r="27" spans="1:9" x14ac:dyDescent="0.25">
      <c r="A27" s="16"/>
      <c r="B27" s="16"/>
      <c r="C27" s="16"/>
      <c r="D27" s="16"/>
      <c r="F27" s="16"/>
      <c r="G27" s="16"/>
    </row>
    <row r="28" spans="1:9" x14ac:dyDescent="0.2">
      <c r="A28" s="9"/>
      <c r="B28" s="9"/>
      <c r="C28" s="9"/>
      <c r="D28" s="9"/>
      <c r="F28" s="9"/>
      <c r="G28" s="163"/>
    </row>
    <row r="29" spans="1:9" x14ac:dyDescent="0.2">
      <c r="A29" s="9"/>
      <c r="B29" s="9"/>
      <c r="C29" s="9"/>
      <c r="D29" s="9"/>
      <c r="F29" s="9"/>
      <c r="G29" s="163"/>
    </row>
    <row r="30" spans="1:9" x14ac:dyDescent="0.2">
      <c r="A30" s="9"/>
      <c r="B30" s="9"/>
      <c r="C30" s="9"/>
      <c r="D30" s="9"/>
      <c r="F30" s="9"/>
      <c r="G30" s="163"/>
    </row>
    <row r="34" spans="29:31" ht="14.25" customHeight="1" x14ac:dyDescent="0.25"/>
    <row r="38" spans="29:31" ht="14.25" customHeight="1" x14ac:dyDescent="0.25">
      <c r="AC38" s="17"/>
    </row>
    <row r="39" spans="29:31" x14ac:dyDescent="0.25">
      <c r="AE39" s="17"/>
    </row>
    <row r="40" spans="29:31" x14ac:dyDescent="0.25">
      <c r="AE40" s="17"/>
    </row>
    <row r="41" spans="29:31" x14ac:dyDescent="0.25">
      <c r="AE41" s="17"/>
    </row>
    <row r="42" spans="29:31" x14ac:dyDescent="0.25">
      <c r="AE42" s="17"/>
    </row>
    <row r="43" spans="29:31" x14ac:dyDescent="0.25">
      <c r="AE43" s="17"/>
    </row>
    <row r="44" spans="29:31" x14ac:dyDescent="0.25">
      <c r="AE44" s="17"/>
    </row>
    <row r="45" spans="29:31" x14ac:dyDescent="0.25">
      <c r="AE45" s="17"/>
    </row>
    <row r="46" spans="29:31" ht="14.25" customHeight="1" x14ac:dyDescent="0.25">
      <c r="AE46" s="17"/>
    </row>
    <row r="47" spans="29:31" x14ac:dyDescent="0.25">
      <c r="AE47"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7" type="noConversion"/>
  <dataValidations count="2">
    <dataValidation type="list" allowBlank="1" showInputMessage="1" showErrorMessage="1" sqref="F24 F6" xr:uid="{00000000-0002-0000-0100-000000000000}">
      <formula1>Tipo</formula1>
    </dataValidation>
    <dataValidation type="list" allowBlank="1" showInputMessage="1" showErrorMessage="1" sqref="G6:G23" xr:uid="{00000000-0002-0000-0100-000001000000}">
      <formula1>INDIRECT(F6)</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B6:B23</xm:sqref>
        </x14:dataValidation>
        <x14:dataValidation type="list" allowBlank="1" showInputMessage="1" showErrorMessage="1" xr:uid="{00000000-0002-0000-0100-000003000000}">
          <x14:formula1>
            <xm:f>'11 FORMULAS'!$A$4:$A$12</xm:f>
          </x14:formula1>
          <xm:sqref>F7:F23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tabSelected="1" view="pageBreakPreview" topLeftCell="H2" zoomScale="70" zoomScaleNormal="55" zoomScaleSheetLayoutView="70" workbookViewId="0">
      <selection activeCell="B14" sqref="B14"/>
    </sheetView>
  </sheetViews>
  <sheetFormatPr baseColWidth="10" defaultColWidth="14.28515625" defaultRowHeight="14.25" x14ac:dyDescent="0.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3.42578125" style="21" customWidth="1"/>
    <col min="10" max="10" width="22.7109375" style="21" customWidth="1"/>
    <col min="11" max="11" width="10.140625" style="21" customWidth="1"/>
    <col min="12" max="12" width="11.5703125" style="21" customWidth="1"/>
    <col min="13" max="13" width="16.28515625" style="207" customWidth="1"/>
    <col min="14" max="14" width="16.7109375" style="207"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x14ac:dyDescent="0.2">
      <c r="A1" s="225"/>
      <c r="B1" s="22"/>
      <c r="C1" s="214"/>
      <c r="D1" s="49"/>
      <c r="E1" s="20"/>
      <c r="G1" s="226"/>
      <c r="H1" s="327"/>
      <c r="I1" s="20"/>
      <c r="J1" s="20"/>
      <c r="K1" s="20"/>
      <c r="L1" s="20"/>
      <c r="M1" s="202"/>
      <c r="N1" s="202"/>
      <c r="R1" s="171"/>
      <c r="S1" s="171"/>
    </row>
    <row r="2" spans="1:25" s="9" customFormat="1" ht="25.5" customHeight="1" x14ac:dyDescent="0.2">
      <c r="A2" s="19" t="s">
        <v>149</v>
      </c>
      <c r="B2" s="365" t="str">
        <f>+IF('2 CONTEXTO E IDENTIFICACIÓN'!$B$2="","",'2 CONTEXTO E IDENTIFICACIÓN'!$B$2)</f>
        <v xml:space="preserve">GESTIÓN DE SERVICIOS PUBLICOS </v>
      </c>
      <c r="C2" s="365"/>
      <c r="D2" s="365"/>
      <c r="E2" s="20"/>
      <c r="G2" s="213" t="e">
        <f>+'2 CONTEXTO E IDENTIFICACIÓN'!#REF!</f>
        <v>#REF!</v>
      </c>
      <c r="H2" s="326" t="e">
        <f>+IF('2 CONTEXTO E IDENTIFICACIÓN'!#REF!="","",'2 CONTEXTO E IDENTIFICACIÓN'!#REF!)</f>
        <v>#REF!</v>
      </c>
      <c r="I2" s="212" t="s">
        <v>105</v>
      </c>
      <c r="J2" s="326" t="e">
        <f>+IF('2 CONTEXTO E IDENTIFICACIÓN'!#REF!="","",'2 CONTEXTO E IDENTIFICACIÓN'!#REF!)</f>
        <v>#REF!</v>
      </c>
      <c r="K2" s="20"/>
      <c r="L2" s="20"/>
      <c r="M2" s="202"/>
      <c r="N2" s="202"/>
      <c r="R2" s="171"/>
      <c r="S2" s="171"/>
    </row>
    <row r="3" spans="1:25" s="9" customFormat="1" ht="15.75" thickBot="1" x14ac:dyDescent="0.25">
      <c r="A3" s="217"/>
      <c r="B3" s="366" t="str">
        <f>+IF('2 CONTEXTO E IDENTIFICACIÓN'!$D$2="","",'2 CONTEXTO E IDENTIFICACIÓN'!$D$2)</f>
        <v/>
      </c>
      <c r="C3" s="366"/>
      <c r="D3" s="366"/>
      <c r="E3" s="23"/>
      <c r="F3" s="23"/>
      <c r="R3" s="171"/>
      <c r="S3" s="171"/>
    </row>
    <row r="4" spans="1:25" s="9" customFormat="1" ht="15.75" thickBot="1" x14ac:dyDescent="0.25">
      <c r="A4" s="217"/>
      <c r="B4" s="216"/>
      <c r="C4" s="216"/>
      <c r="D4" s="216"/>
      <c r="E4" s="23"/>
      <c r="F4" s="23"/>
      <c r="G4" s="441" t="s">
        <v>70</v>
      </c>
      <c r="H4" s="442"/>
      <c r="I4" s="442"/>
      <c r="J4" s="442"/>
      <c r="K4" s="442"/>
      <c r="L4" s="442"/>
      <c r="M4" s="442"/>
      <c r="N4" s="443"/>
      <c r="R4" s="171"/>
      <c r="S4" s="171"/>
    </row>
    <row r="5" spans="1:25" s="24" customFormat="1" ht="14.1" customHeight="1" thickBot="1" x14ac:dyDescent="0.3">
      <c r="A5" s="292"/>
      <c r="C5" s="441" t="s">
        <v>76</v>
      </c>
      <c r="D5" s="442"/>
      <c r="E5" s="442"/>
      <c r="F5" s="443"/>
      <c r="G5" s="444" t="s">
        <v>162</v>
      </c>
      <c r="H5" s="445"/>
      <c r="I5" s="446"/>
      <c r="J5" s="444" t="s">
        <v>58</v>
      </c>
      <c r="K5" s="445"/>
      <c r="L5" s="446"/>
      <c r="M5" s="444" t="s">
        <v>189</v>
      </c>
      <c r="N5" s="446"/>
      <c r="P5" s="437" t="s">
        <v>2</v>
      </c>
      <c r="Q5" s="438"/>
      <c r="R5" s="439"/>
      <c r="S5" s="439"/>
      <c r="T5" s="440"/>
      <c r="V5" s="434" t="s">
        <v>4</v>
      </c>
      <c r="W5" s="435"/>
      <c r="X5" s="435"/>
      <c r="Y5" s="436"/>
    </row>
    <row r="6" spans="1:25" s="146" customFormat="1" ht="42.75" x14ac:dyDescent="0.25">
      <c r="A6" s="293" t="s">
        <v>187</v>
      </c>
      <c r="B6" s="294" t="s">
        <v>186</v>
      </c>
      <c r="C6" s="198" t="s">
        <v>190</v>
      </c>
      <c r="D6" s="199" t="s">
        <v>47</v>
      </c>
      <c r="E6" s="200" t="s">
        <v>185</v>
      </c>
      <c r="F6" s="201" t="s">
        <v>188</v>
      </c>
      <c r="G6" s="176" t="s">
        <v>162</v>
      </c>
      <c r="H6" s="177" t="s">
        <v>253</v>
      </c>
      <c r="I6" s="180" t="s">
        <v>46</v>
      </c>
      <c r="J6" s="176" t="s">
        <v>58</v>
      </c>
      <c r="K6" s="177" t="s">
        <v>253</v>
      </c>
      <c r="L6" s="180" t="s">
        <v>46</v>
      </c>
      <c r="M6" s="176" t="s">
        <v>164</v>
      </c>
      <c r="N6" s="178" t="s">
        <v>163</v>
      </c>
      <c r="P6" s="26" t="s">
        <v>46</v>
      </c>
      <c r="Q6" s="27" t="s">
        <v>47</v>
      </c>
      <c r="R6" s="168" t="s">
        <v>161</v>
      </c>
      <c r="S6" s="168" t="s">
        <v>160</v>
      </c>
      <c r="T6" s="28" t="s">
        <v>48</v>
      </c>
      <c r="V6" s="26" t="s">
        <v>46</v>
      </c>
      <c r="W6" s="27" t="s">
        <v>57</v>
      </c>
      <c r="X6" s="27" t="s">
        <v>75</v>
      </c>
      <c r="Y6" s="28" t="s">
        <v>58</v>
      </c>
    </row>
    <row r="7" spans="1:25" ht="156.75" x14ac:dyDescent="0.25">
      <c r="A7" s="29" t="str">
        <f>'2 CONTEXTO E IDENTIFICACIÓN'!A6</f>
        <v>R1</v>
      </c>
      <c r="B7" s="295" t="str">
        <f>+'2 CONTEXTO E IDENTIFICACIÓN'!E6</f>
        <v>Posibilidad de pérdida Económica y Reputacional por contaminación ambiental a causa de las descargas de aguas residuales debido a la falta de seguimiento y control a los vertimientos realizados por usuarios diferentes al residencial que hacen uso del alcantarillado público y a la infraestructura de las redes de alcantarillado en condiciones inadecuadas.</v>
      </c>
      <c r="C7" s="195">
        <v>20</v>
      </c>
      <c r="D7" s="172" t="str">
        <f>+IF(C7="","",IF(C7&lt;=$S$7,$Q$7,IF(C7&lt;=$S$8,$Q$8,IF(C7&lt;=$S$9,$Q$9,IF(C7&lt;=$S$10,$Q$10,IF(C7&gt;=$R$11,$Q$11,""))))))</f>
        <v>La actividad que conlleva el riesgo se ejecuta de 3 a 24 veces por año</v>
      </c>
      <c r="E7" s="173">
        <f>+IF(D7="","",IF(D7=$Q$7,$T$7,IF(D7=$Q$8,$T$8,IF(D7=$Q$9,$T$9,IF(D7=$Q$10,$T$10,IF(D7=$Q$11,$T$11))))))</f>
        <v>0.4</v>
      </c>
      <c r="F7" s="30" t="str">
        <f>+IF(D7="","",IF(D7=$Q$7,$P$7,IF(D7=$Q$8,$P$8,IF(D7=$Q$9,$P$9,IF(D7=$Q$10,$P$10,IF(D7=$Q$11,$P$11))))))</f>
        <v>Baja</v>
      </c>
      <c r="G7" s="183" t="s">
        <v>77</v>
      </c>
      <c r="H7" s="175">
        <f>+IF(G7="","",IF(G7="N/A","",IF(OR(G7=$X$7,G7=$Y$7),$W$7,IF(OR(G7=$X$8,G7=$Y$8),$W$8,IF(OR(G7=$X$9,G7=$Y$9),$W$9,IF(OR(G7=$X$10,G7=$Y$10),$W$10,IF(OR(G7=$X$11,G7=$Y$11),$W$11)))))))</f>
        <v>0.2</v>
      </c>
      <c r="I7" s="181" t="str">
        <f>+IF(G7="","",IF(G7="N/A","",IF(OR(G7=$X$7,G7=$Y$7),$V$7,IF(OR(G7=$X$8,G7=$Y$8),$V$8,IF(OR(G7=$X$9,G7=$Y$9),$V$9,IF(OR(G7=$X$10,G7=$Y$10),$V$10,IF(OR(G7=$X$11,G7=$Y$11),$V$11)))))))</f>
        <v>Leve</v>
      </c>
      <c r="J7" s="183" t="s">
        <v>66</v>
      </c>
      <c r="K7" s="175">
        <f>+IF(J7="","",IF(J7="N/A","",IF(OR(J7=$X$7,J7=$Y$7),$W$7,IF(OR(J7=$X$8,J7=$Y$8),$W$8,IF(OR(J7=$X$9,J7=$Y$9),$W$9,IF(OR(J7=$X$10,J7=$Y$10),$W$10,IF(OR(J7=$X$11,J7=$Y$11),$W$11)))))))</f>
        <v>0.8</v>
      </c>
      <c r="L7" s="181" t="str">
        <f>+IF(J7="","",IF(J7="N/A","",IF(OR(J7=$X$7,J7=$Y$7),$V$7,IF(OR(J7=$X$8,J7=$Y$8),$V$8,IF(OR(J7=$X$9,J7=$Y$9),$V$9,IF(OR(J7=$X$10,J7=$Y$10),$V$10,IF(OR(J7=$X$11,J7=$Y$11),$V$11)))))))</f>
        <v>Mayor</v>
      </c>
      <c r="M7" s="203">
        <f>+IF(H7="",K7,IF(K7="",H7,IF(H7&gt;K7,H7,K7)))</f>
        <v>0.8</v>
      </c>
      <c r="N7" s="204" t="str">
        <f>+IF(M7="","",IF(M7=$W$7,$V$7,IF(M7=$W$8,$V$8,IF(M7=$W$9,$V$9,IF(M7=$W$10,$V$10,IF(M7=$W$11,$V$11))))))</f>
        <v>Mayor</v>
      </c>
      <c r="P7" s="31" t="s">
        <v>49</v>
      </c>
      <c r="Q7" s="32" t="s">
        <v>50</v>
      </c>
      <c r="R7" s="169">
        <v>0</v>
      </c>
      <c r="S7" s="169">
        <v>2</v>
      </c>
      <c r="T7" s="33">
        <v>0.2</v>
      </c>
      <c r="V7" s="31" t="s">
        <v>59</v>
      </c>
      <c r="W7" s="34">
        <v>0.2</v>
      </c>
      <c r="X7" s="32" t="s">
        <v>77</v>
      </c>
      <c r="Y7" s="35" t="s">
        <v>60</v>
      </c>
    </row>
    <row r="8" spans="1:25" ht="45" x14ac:dyDescent="0.25">
      <c r="A8" s="29"/>
      <c r="B8" s="295"/>
      <c r="C8" s="196"/>
      <c r="D8" s="172"/>
      <c r="E8" s="173"/>
      <c r="F8" s="30" t="str">
        <f t="shared" ref="F8" si="0">+IF(D8="","",IF(D8=$Q$7,$P$7,IF(D8=$Q$8,$P$8,IF(D8=$Q$9,$P$9,IF(D8=$Q$10,$P$10,IF(D8=$Q$11,$P$11))))))</f>
        <v/>
      </c>
      <c r="G8" s="183"/>
      <c r="H8" s="175" t="str">
        <f t="shared" ref="H8" si="1">+IF(G8="","",IF(G8="N/A","",IF(OR(G8=$X$7,G8=$Y$7),$W$7,IF(OR(G8=$X$8,G8=$Y$8),$W$8,IF(OR(G8=$X$9,G8=$Y$9),$W$9,IF(OR(G8=$X$10,G8=$Y$10),$W$10,IF(OR(G8=$X$11,G8=$Y$11),$W$11)))))))</f>
        <v/>
      </c>
      <c r="I8" s="181" t="str">
        <f t="shared" ref="I8" si="2">+IF(G8="","",IF(G8="N/A","",IF(OR(G8=$X$7,G8=$Y$7),$V$7,IF(OR(G8=$X$8,G8=$Y$8),$V$8,IF(OR(G8=$X$9,G8=$Y$9),$V$9,IF(OR(G8=$X$10,G8=$Y$10),$V$10,IF(OR(G8=$X$11,G8=$Y$11),$V$11)))))))</f>
        <v/>
      </c>
      <c r="J8" s="183"/>
      <c r="K8" s="175" t="str">
        <f t="shared" ref="K8" si="3">+IF(J8="","",IF(J8="N/A","",IF(OR(J8=$X$7,J8=$Y$7),$W$7,IF(OR(J8=$X$8,J8=$Y$8),$W$8,IF(OR(J8=$X$9,J8=$Y$9),$W$9,IF(OR(J8=$X$10,J8=$Y$10),$W$10,IF(OR(J8=$X$11,J8=$Y$11),$W$11)))))))</f>
        <v/>
      </c>
      <c r="L8" s="181" t="str">
        <f t="shared" ref="L8" si="4">+IF(J8="","",IF(J8="N/A","",IF(OR(J8=$X$7,J8=$Y$7),$V$7,IF(OR(J8=$X$8,J8=$Y$8),$V$8,IF(OR(J8=$X$9,J8=$Y$9),$V$9,IF(OR(J8=$X$10,J8=$Y$10),$V$10,IF(OR(J8=$X$11,J8=$Y$11),$V$11)))))))</f>
        <v/>
      </c>
      <c r="M8" s="203" t="str">
        <f>+IF(H8="",K8,IF(K8="",H8,IF(H8&gt;K8,H8,K8)))</f>
        <v/>
      </c>
      <c r="N8" s="204" t="str">
        <f t="shared" ref="N8" si="5">+IF(M8="","",IF(M8=$W$7,$V$7,IF(M8=$W$8,$V$8,IF(M8=$W$9,$V$9,IF(M8=$W$10,$V$10,IF(M8=$W$11,$V$11))))))</f>
        <v/>
      </c>
      <c r="P8" s="36" t="s">
        <v>51</v>
      </c>
      <c r="Q8" s="37" t="s">
        <v>52</v>
      </c>
      <c r="R8" s="169">
        <v>3</v>
      </c>
      <c r="S8" s="169">
        <v>24</v>
      </c>
      <c r="T8" s="33">
        <v>0.4</v>
      </c>
      <c r="V8" s="36" t="s">
        <v>7</v>
      </c>
      <c r="W8" s="34">
        <v>0.4</v>
      </c>
      <c r="X8" s="37" t="s">
        <v>61</v>
      </c>
      <c r="Y8" s="38" t="s">
        <v>62</v>
      </c>
    </row>
    <row r="9" spans="1:25" ht="128.25" x14ac:dyDescent="0.25">
      <c r="A9" s="29" t="str">
        <f>'2 CONTEXTO E IDENTIFICACIÓN'!A7</f>
        <v>R2</v>
      </c>
      <c r="B9" s="295" t="str">
        <f>+'2 CONTEXTO E IDENTIFICACIÓN'!E7</f>
        <v>Posibilidad de pérdida Económica y Reputacional por la atención inoportuna de las solicitudes de reparación de alcantarillado debido a la falta de seguimiento a las ordenes de trabajo generadas, falta de personal operativo para los grupos de trabajo y falta de asignación de recursos o de disponibilidad de materiales.</v>
      </c>
      <c r="C9" s="196">
        <v>365</v>
      </c>
      <c r="D9" s="172" t="str">
        <f>+IF(C9="","",IF(C9&lt;=$S$7,$Q$7,IF(C9&lt;=$S$8,$Q$8,IF(C9&lt;=$S$9,$Q$9,IF(C9&lt;=$S$10,$Q$10,IF(C9&gt;=$R$11,$Q$11,""))))))</f>
        <v>La actividad que conlleva el riesgo se ejecuta de 24 a 500 veces por año</v>
      </c>
      <c r="E9" s="173">
        <f>+IF(D9="","",IF(D9=$Q$7,$T$7,IF(D9=$Q$8,$T$8,IF(D9=$Q$9,$T$9,IF(D9=$Q$10,$T$10,IF(D9=$Q$11,$T$11))))))</f>
        <v>0.6</v>
      </c>
      <c r="F9" s="30" t="str">
        <f>+IF(D9="","",IF(D9=$Q$7,$P$7,IF(D9=$Q$8,$P$8,IF(D9=$Q$9,$P$9,IF(D9=$Q$10,$P$10,IF(D9=$Q$11,$P$11))))))</f>
        <v>Media</v>
      </c>
      <c r="G9" s="183" t="s">
        <v>65</v>
      </c>
      <c r="H9" s="175">
        <f>+IF(G9="","",IF(G9="N/A","",IF(OR(G9=$X$7,G9=$Y$7),$W$7,IF(OR(G9=$X$8,G9=$Y$8),$W$8,IF(OR(G9=$X$9,G9=$Y$9),$W$9,IF(OR(G9=$X$10,G9=$Y$10),$W$10,IF(OR(G9=$X$11,G9=$Y$11),$W$11)))))))</f>
        <v>0.8</v>
      </c>
      <c r="I9" s="181" t="str">
        <f>+IF(G9="","",IF(G9="N/A","",IF(OR(G9=$X$7,G9=$Y$7),$V$7,IF(OR(G9=$X$8,G9=$Y$8),$V$8,IF(OR(G9=$X$9,G9=$Y$9),$V$9,IF(OR(G9=$X$10,G9=$Y$10),$V$10,IF(OR(G9=$X$11,G9=$Y$11),$V$11)))))))</f>
        <v>Mayor</v>
      </c>
      <c r="J9" s="183" t="s">
        <v>66</v>
      </c>
      <c r="K9" s="175">
        <f>+IF(J9="","",IF(J9="N/A","",IF(OR(J9=$X$7,J9=$Y$7),$W$7,IF(OR(J9=$X$8,J9=$Y$8),$W$8,IF(OR(J9=$X$9,J9=$Y$9),$W$9,IF(OR(J9=$X$10,J9=$Y$10),$W$10,IF(OR(J9=$X$11,J9=$Y$11),$W$11)))))))</f>
        <v>0.8</v>
      </c>
      <c r="L9" s="181" t="str">
        <f>+IF(J9="","",IF(J9="N/A","",IF(OR(J9=$X$7,J9=$Y$7),$V$7,IF(OR(J9=$X$8,J9=$Y$8),$V$8,IF(OR(J9=$X$9,J9=$Y$9),$V$9,IF(OR(J9=$X$10,J9=$Y$10),$V$10,IF(OR(J9=$X$11,J9=$Y$11),$V$11)))))))</f>
        <v>Mayor</v>
      </c>
      <c r="M9" s="203">
        <f t="shared" ref="M9:M26" si="6">+IF(H9="",K9,IF(K9="",H9,IF(H9&gt;K9,H9,K9)))</f>
        <v>0.8</v>
      </c>
      <c r="N9" s="204" t="str">
        <f>+IF(M9="","",IF(M9=$W$7,$V$7,IF(M9=$W$8,$V$8,IF(M9=$W$9,$V$9,IF(M9=$W$10,$V$10,IF(M9=$W$11,$V$11))))))</f>
        <v>Mayor</v>
      </c>
      <c r="P9" s="39" t="s">
        <v>53</v>
      </c>
      <c r="Q9" s="37" t="s">
        <v>54</v>
      </c>
      <c r="R9" s="169">
        <v>25</v>
      </c>
      <c r="S9" s="169">
        <v>500</v>
      </c>
      <c r="T9" s="33">
        <v>0.6</v>
      </c>
      <c r="V9" s="39" t="s">
        <v>5</v>
      </c>
      <c r="W9" s="34">
        <v>0.6</v>
      </c>
      <c r="X9" s="37" t="s">
        <v>63</v>
      </c>
      <c r="Y9" s="38" t="s">
        <v>64</v>
      </c>
    </row>
    <row r="10" spans="1:25" ht="99.75" x14ac:dyDescent="0.25">
      <c r="A10" s="29" t="str">
        <f>'2 CONTEXTO E IDENTIFICACIÓN'!A8</f>
        <v>R3</v>
      </c>
      <c r="B10" s="295" t="str">
        <f>+'2 CONTEXTO E IDENTIFICACIÓN'!E8</f>
        <v>Posibilidad de pérdida Económica y Reputacional por la falta de atención a las afectaciones generadas por actividades de alcantarillado debido a que la parametrización del software permite el cierre de ordenes de trabajo con actividades pendientes.</v>
      </c>
      <c r="C10" s="196">
        <v>12</v>
      </c>
      <c r="D10" s="172" t="str">
        <f>+IF(C10="","",IF(C10&lt;=$S$7,$Q$7,IF(C10&lt;=$S$8,$Q$8,IF(C10&lt;=$S$9,$Q$9,IF(C10&lt;=$S$10,$Q$10,IF(C10&gt;=$R$11,$Q$11,""))))))</f>
        <v>La actividad que conlleva el riesgo se ejecuta de 3 a 24 veces por año</v>
      </c>
      <c r="E10" s="173">
        <f>+IF(D10="","",IF(D10=$Q$7,$T$7,IF(D10=$Q$8,$T$8,IF(D10=$Q$9,$T$9,IF(D10=$Q$10,$T$10,IF(D10=$Q$11,$T$11))))))</f>
        <v>0.4</v>
      </c>
      <c r="F10" s="30" t="str">
        <f>+IF(D10="","",IF(D10=$Q$7,$P$7,IF(D10=$Q$8,$P$8,IF(D10=$Q$9,$P$9,IF(D10=$Q$10,$P$10,IF(D10=$Q$11,$P$11))))))</f>
        <v>Baja</v>
      </c>
      <c r="G10" s="183" t="s">
        <v>65</v>
      </c>
      <c r="H10" s="175">
        <f>+IF(G10="","",IF(G10="N/A","",IF(OR(G10=$X$7,G10=$Y$7),$W$7,IF(OR(G10=$X$8,G10=$Y$8),$W$8,IF(OR(G10=$X$9,G10=$Y$9),$W$9,IF(OR(G10=$X$10,G10=$Y$10),$W$10,IF(OR(G10=$X$11,G10=$Y$11),$W$11)))))))</f>
        <v>0.8</v>
      </c>
      <c r="I10" s="181" t="str">
        <f>+IF(G10="","",IF(G10="N/A","",IF(OR(G10=$X$7,G10=$Y$7),$V$7,IF(OR(G10=$X$8,G10=$Y$8),$V$8,IF(OR(G10=$X$9,G10=$Y$9),$V$9,IF(OR(G10=$X$10,G10=$Y$10),$V$10,IF(OR(G10=$X$11,G10=$Y$11),$V$11)))))))</f>
        <v>Mayor</v>
      </c>
      <c r="J10" s="183" t="s">
        <v>64</v>
      </c>
      <c r="K10" s="175">
        <f>+IF(J10="","",IF(J10="N/A","",IF(OR(J10=$X$7,J10=$Y$7),$W$7,IF(OR(J10=$X$8,J10=$Y$8),$W$8,IF(OR(J10=$X$9,J10=$Y$9),$W$9,IF(OR(J10=$X$10,J10=$Y$10),$W$10,IF(OR(J10=$X$11,J10=$Y$11),$W$11)))))))</f>
        <v>0.6</v>
      </c>
      <c r="L10" s="181" t="str">
        <f>+IF(J10="","",IF(J10="N/A","",IF(OR(J10=$X$7,J10=$Y$7),$V$7,IF(OR(J10=$X$8,J10=$Y$8),$V$8,IF(OR(J10=$X$9,J10=$Y$9),$V$9,IF(OR(J10=$X$10,J10=$Y$10),$V$10,IF(OR(J10=$X$11,J10=$Y$11),$V$11)))))))</f>
        <v>Moderado</v>
      </c>
      <c r="M10" s="203">
        <f t="shared" si="6"/>
        <v>0.8</v>
      </c>
      <c r="N10" s="204" t="str">
        <f>+IF(M10="","",IF(M10=$W$7,$V$7,IF(M10=$W$8,$V$8,IF(M10=$W$9,$V$9,IF(M10=$W$10,$V$10,IF(M10=$W$11,$V$11))))))</f>
        <v>Mayor</v>
      </c>
      <c r="P10" s="40" t="s">
        <v>55</v>
      </c>
      <c r="Q10" s="37" t="s">
        <v>73</v>
      </c>
      <c r="R10" s="169">
        <v>5001</v>
      </c>
      <c r="S10" s="169">
        <v>5000</v>
      </c>
      <c r="T10" s="33">
        <v>0.8</v>
      </c>
      <c r="V10" s="40" t="s">
        <v>6</v>
      </c>
      <c r="W10" s="34">
        <v>0.8</v>
      </c>
      <c r="X10" s="37" t="s">
        <v>65</v>
      </c>
      <c r="Y10" s="38" t="s">
        <v>66</v>
      </c>
    </row>
    <row r="11" spans="1:25" ht="73.5" customHeight="1" x14ac:dyDescent="0.25">
      <c r="A11" s="29" t="str">
        <f>'2 CONTEXTO E IDENTIFICACIÓN'!A9</f>
        <v>R4</v>
      </c>
      <c r="B11" s="295" t="str">
        <f>+'2 CONTEXTO E IDENTIFICACIÓN'!E9</f>
        <v>Posibilidad de pérdida Económica y Reputacional Por la captacion del caudal de las plantas de tratamiento  de los municipios  por encima del lt/s consecionados  Debido a la falta de medicion en el sistema de las bocatomas</v>
      </c>
      <c r="C11" s="196">
        <v>365</v>
      </c>
      <c r="D11" s="172" t="str">
        <f>+IF(C11="","",IF(C11&lt;=$S$7,$Q$7,IF(C11&lt;=$S$8,$Q$8,IF(C11&lt;=$S$9,$Q$9,IF(C11&lt;=$S$10,$Q$10,IF(C11&gt;=$R$11,$Q$11,""))))))</f>
        <v>La actividad que conlleva el riesgo se ejecuta de 24 a 500 veces por año</v>
      </c>
      <c r="E11" s="173">
        <f>+IF(D11="","",IF(D11=$Q$7,$T$7,IF(D11=$Q$8,$T$8,IF(D11=$Q$9,$T$9,IF(D11=$Q$10,$T$10,IF(D11=$Q$11,$T$11))))))</f>
        <v>0.6</v>
      </c>
      <c r="F11" s="30" t="str">
        <f>+IF(D11="","",IF(D11=$Q$7,$P$7,IF(D11=$Q$8,$P$8,IF(D11=$Q$9,$P$9,IF(D11=$Q$10,$P$10,IF(D11=$Q$11,$P$11))))))</f>
        <v>Media</v>
      </c>
      <c r="G11" s="183" t="s">
        <v>65</v>
      </c>
      <c r="H11" s="175">
        <f>+IF(G11="","",IF(G11="N/A","",IF(OR(G11=$X$7,G11=$Y$7),$W$7,IF(OR(G11=$X$8,G11=$Y$8),$W$8,IF(OR(G11=$X$9,G11=$Y$9),$W$9,IF(OR(G11=$X$10,G11=$Y$10),$W$10,IF(OR(G11=$X$11,G11=$Y$11),$W$11)))))))</f>
        <v>0.8</v>
      </c>
      <c r="I11" s="181" t="str">
        <f>+IF(G11="","",IF(G11="N/A","",IF(OR(G11=$X$7,G11=$Y$7),$V$7,IF(OR(G11=$X$8,G11=$Y$8),$V$8,IF(OR(G11=$X$9,G11=$Y$9),$V$9,IF(OR(G11=$X$10,G11=$Y$10),$V$10,IF(OR(G11=$X$11,G11=$Y$11),$V$11)))))))</f>
        <v>Mayor</v>
      </c>
      <c r="J11" s="183" t="s">
        <v>66</v>
      </c>
      <c r="K11" s="175">
        <f>+IF(J11="","",IF(J11="N/A","",IF(OR(J11=$X$7,J11=$Y$7),$W$7,IF(OR(J11=$X$8,J11=$Y$8),$W$8,IF(OR(J11=$X$9,J11=$Y$9),$W$9,IF(OR(J11=$X$10,J11=$Y$10),$W$10,IF(OR(J11=$X$11,J11=$Y$11),$W$11)))))))</f>
        <v>0.8</v>
      </c>
      <c r="L11" s="181" t="str">
        <f>+IF(J11="","",IF(J11="N/A","",IF(OR(J11=$X$7,J11=$Y$7),$V$7,IF(OR(J11=$X$8,J11=$Y$8),$V$8,IF(OR(J11=$X$9,J11=$Y$9),$V$9,IF(OR(J11=$X$10,J11=$Y$10),$V$10,IF(OR(J11=$X$11,J11=$Y$11),$V$11)))))))</f>
        <v>Mayor</v>
      </c>
      <c r="M11" s="203">
        <f t="shared" si="6"/>
        <v>0.8</v>
      </c>
      <c r="N11" s="204" t="str">
        <f>+IF(M11="","",IF(M11=$W$7,$V$7,IF(M11=$W$8,$V$8,IF(M11=$W$9,$V$9,IF(M11=$W$10,$V$10,IF(M11=$W$11,$V$11))))))</f>
        <v>Mayor</v>
      </c>
      <c r="P11" s="41" t="s">
        <v>56</v>
      </c>
      <c r="Q11" s="37" t="s">
        <v>74</v>
      </c>
      <c r="R11" s="169">
        <v>5001</v>
      </c>
      <c r="S11" s="169"/>
      <c r="T11" s="33">
        <v>1</v>
      </c>
      <c r="V11" s="41" t="s">
        <v>67</v>
      </c>
      <c r="W11" s="34">
        <v>1</v>
      </c>
      <c r="X11" s="37" t="s">
        <v>68</v>
      </c>
      <c r="Y11" s="38" t="s">
        <v>69</v>
      </c>
    </row>
    <row r="12" spans="1:25" ht="73.5" customHeight="1" thickBot="1" x14ac:dyDescent="0.3">
      <c r="A12" s="29" t="str">
        <f>'2 CONTEXTO E IDENTIFICACIÓN'!A10</f>
        <v>R5</v>
      </c>
      <c r="B12" s="295" t="str">
        <f>+'2 CONTEXTO E IDENTIFICACIÓN'!E10</f>
        <v>Posibilidad de pérdida Económica y Reputacional por condiciones de calidad de agua cruda que no permite tratabilidad y afectaciones de tipo climático debido a crecientes que generan arrastre de solidos y elevacion en los niveles de turbierdad en agua cruda</v>
      </c>
      <c r="C12" s="196">
        <v>150</v>
      </c>
      <c r="D12" s="172" t="str">
        <f>+IF(C12="","",IF(C12&lt;=$S$7,$Q$7,IF(C12&lt;=$S$8,$Q$8,IF(C12&lt;=$S$9,$Q$9,IF(C12&lt;=$S$10,$Q$10,IF(C12&gt;=$R$11,$Q$11,""))))))</f>
        <v>La actividad que conlleva el riesgo se ejecuta de 24 a 500 veces por año</v>
      </c>
      <c r="E12" s="173">
        <f>+IF(D12="","",IF(D12=$Q$7,$T$7,IF(D12=$Q$8,$T$8,IF(D12=$Q$9,$T$9,IF(D12=$Q$10,$T$10,IF(D12=$Q$11,$T$11))))))</f>
        <v>0.6</v>
      </c>
      <c r="F12" s="30" t="str">
        <f>+IF(D12="","",IF(D12=$Q$7,$P$7,IF(D12=$Q$8,$P$8,IF(D12=$Q$9,$P$9,IF(D12=$Q$10,$P$10,IF(D12=$Q$11,$P$11))))))</f>
        <v>Media</v>
      </c>
      <c r="G12" s="183" t="s">
        <v>136</v>
      </c>
      <c r="H12" s="175" t="str">
        <f>+IF(G12="","",IF(G12="N/A","",IF(OR(G12=$X$7,G12=$Y$7),$W$7,IF(OR(G12=$X$8,G12=$Y$8),$W$8,IF(OR(G12=$X$9,G12=$Y$9),$W$9,IF(OR(G12=$X$10,G12=$Y$10),$W$10,IF(OR(G12=$X$11,G12=$Y$11),$W$11)))))))</f>
        <v/>
      </c>
      <c r="I12" s="181" t="str">
        <f>+IF(G12="","",IF(G12="N/A","",IF(OR(G12=$X$7,G12=$Y$7),$V$7,IF(OR(G12=$X$8,G12=$Y$8),$V$8,IF(OR(G12=$X$9,G12=$Y$9),$V$9,IF(OR(G12=$X$10,G12=$Y$10),$V$10,IF(OR(G12=$X$11,G12=$Y$11),$V$11)))))))</f>
        <v/>
      </c>
      <c r="J12" s="183" t="s">
        <v>66</v>
      </c>
      <c r="K12" s="175">
        <f>+IF(J12="","",IF(J12="N/A","",IF(OR(J12=$X$7,J12=$Y$7),$W$7,IF(OR(J12=$X$8,J12=$Y$8),$W$8,IF(OR(J12=$X$9,J12=$Y$9),$W$9,IF(OR(J12=$X$10,J12=$Y$10),$W$10,IF(OR(J12=$X$11,J12=$Y$11),$W$11)))))))</f>
        <v>0.8</v>
      </c>
      <c r="L12" s="181" t="str">
        <f>+IF(J12="","",IF(J12="N/A","",IF(OR(J12=$X$7,J12=$Y$7),$V$7,IF(OR(J12=$X$8,J12=$Y$8),$V$8,IF(OR(J12=$X$9,J12=$Y$9),$V$9,IF(OR(J12=$X$10,J12=$Y$10),$V$10,IF(OR(J12=$X$11,J12=$Y$11),$V$11)))))))</f>
        <v>Mayor</v>
      </c>
      <c r="M12" s="203">
        <f t="shared" si="6"/>
        <v>0.8</v>
      </c>
      <c r="N12" s="204" t="str">
        <f>+IF(M12="","",IF(M12=$W$7,$V$7,IF(M12=$W$8,$V$8,IF(M12=$W$9,$V$9,IF(M12=$W$10,$V$10,IF(M12=$W$11,$V$11))))))</f>
        <v>Mayor</v>
      </c>
      <c r="P12" s="42"/>
      <c r="Q12" s="43"/>
      <c r="R12" s="170"/>
      <c r="S12" s="170"/>
      <c r="T12" s="44"/>
      <c r="V12" s="42"/>
      <c r="W12" s="43"/>
      <c r="X12" s="43" t="s">
        <v>136</v>
      </c>
      <c r="Y12" s="44" t="s">
        <v>136</v>
      </c>
    </row>
    <row r="13" spans="1:25" ht="73.5" customHeight="1" x14ac:dyDescent="0.25">
      <c r="A13" s="29" t="str">
        <f>'2 CONTEXTO E IDENTIFICACIÓN'!A11</f>
        <v>R6</v>
      </c>
      <c r="B13" s="295" t="str">
        <f>+'2 CONTEXTO E IDENTIFICACIÓN'!E11</f>
        <v>Posibilidad de pérdida Económica y Reputacional por el aumento en el índice de agua no contabilizada por pérdidas técnicas  debido a la infraestructura de produccion ,almacenameinto y distribucion en condiciones inadecuadas,  y la reparación inoportuna de fugas y daños en las redes de acueducto.</v>
      </c>
      <c r="C13" s="196">
        <v>365</v>
      </c>
      <c r="D13" s="172" t="str">
        <f>+IF(C13="","",IF(C13&lt;=$S$7,$Q$7,IF(C13&lt;=$S$8,$Q$8,IF(C13&lt;=$S$9,$Q$9,IF(C13&lt;=$S$10,$Q$10,IF(C13&gt;=$R$11,$Q$11,""))))))</f>
        <v>La actividad que conlleva el riesgo se ejecuta de 24 a 500 veces por año</v>
      </c>
      <c r="E13" s="173">
        <f>+IF(D13="","",IF(D13=$Q$7,$T$7,IF(D13=$Q$8,$T$8,IF(D13=$Q$9,$T$9,IF(D13=$Q$10,$T$10,IF(D13=$Q$11,$T$11))))))</f>
        <v>0.6</v>
      </c>
      <c r="F13" s="30" t="str">
        <f>+IF(D13="","",IF(D13=$Q$7,$P$7,IF(D13=$Q$8,$P$8,IF(D13=$Q$9,$P$9,IF(D13=$Q$10,$P$10,IF(D13=$Q$11,$P$11))))))</f>
        <v>Media</v>
      </c>
      <c r="G13" s="183" t="s">
        <v>63</v>
      </c>
      <c r="H13" s="175">
        <f>+IF(G13="","",IF(G13="N/A","",IF(OR(G13=$X$7,G13=$Y$7),$W$7,IF(OR(G13=$X$8,G13=$Y$8),$W$8,IF(OR(G13=$X$9,G13=$Y$9),$W$9,IF(OR(G13=$X$10,G13=$Y$10),$W$10,IF(OR(G13=$X$11,G13=$Y$11),$W$11)))))))</f>
        <v>0.6</v>
      </c>
      <c r="I13" s="181" t="str">
        <f>+IF(G13="","",IF(G13="N/A","",IF(OR(G13=$X$7,G13=$Y$7),$V$7,IF(OR(G13=$X$8,G13=$Y$8),$V$8,IF(OR(G13=$X$9,G13=$Y$9),$V$9,IF(OR(G13=$X$10,G13=$Y$10),$V$10,IF(OR(G13=$X$11,G13=$Y$11),$V$11)))))))</f>
        <v>Moderado</v>
      </c>
      <c r="J13" s="183" t="s">
        <v>66</v>
      </c>
      <c r="K13" s="175">
        <f>+IF(J13="","",IF(J13="N/A","",IF(OR(J13=$X$7,J13=$Y$7),$W$7,IF(OR(J13=$X$8,J13=$Y$8),$W$8,IF(OR(J13=$X$9,J13=$Y$9),$W$9,IF(OR(J13=$X$10,J13=$Y$10),$W$10,IF(OR(J13=$X$11,J13=$Y$11),$W$11)))))))</f>
        <v>0.8</v>
      </c>
      <c r="L13" s="181" t="str">
        <f>+IF(J13="","",IF(J13="N/A","",IF(OR(J13=$X$7,J13=$Y$7),$V$7,IF(OR(J13=$X$8,J13=$Y$8),$V$8,IF(OR(J13=$X$9,J13=$Y$9),$V$9,IF(OR(J13=$X$10,J13=$Y$10),$V$10,IF(OR(J13=$X$11,J13=$Y$11),$V$11)))))))</f>
        <v>Mayor</v>
      </c>
      <c r="M13" s="203">
        <f t="shared" si="6"/>
        <v>0.8</v>
      </c>
      <c r="N13" s="204" t="str">
        <f>+IF(M13="","",IF(M13=$W$7,$V$7,IF(M13=$W$8,$V$8,IF(M13=$W$9,$V$9,IF(M13=$W$10,$V$10,IF(M13=$W$11,$V$11))))))</f>
        <v>Mayor</v>
      </c>
    </row>
    <row r="14" spans="1:25" ht="15" x14ac:dyDescent="0.25">
      <c r="A14" s="29" t="e">
        <f>'2 CONTEXTO E IDENTIFICACIÓN'!#REF!</f>
        <v>#REF!</v>
      </c>
      <c r="B14" s="295"/>
      <c r="C14" s="196"/>
      <c r="D14" s="172"/>
      <c r="E14" s="173" t="str">
        <f>+IF(D14="","",IF(D14=$Q$7,$T$7,IF(D14=$Q$8,$T$8,IF(D14=$Q$9,$T$9,IF(D14=$Q$10,$T$10,IF(D14=$Q$11,$T$11))))))</f>
        <v/>
      </c>
      <c r="F14" s="30" t="str">
        <f>+IF(D14="","",IF(D14=$Q$7,$P$7,IF(D14=$Q$8,$P$8,IF(D14=$Q$9,$P$9,IF(D14=$Q$10,$P$10,IF(D14=$Q$11,$P$11))))))</f>
        <v/>
      </c>
      <c r="G14" s="183"/>
      <c r="H14" s="175" t="str">
        <f>+IF(G14="","",IF(G14="N/A","",IF(OR(G14=$X$7,G14=$Y$7),$W$7,IF(OR(G14=$X$8,G14=$Y$8),$W$8,IF(OR(G14=$X$9,G14=$Y$9),$W$9,IF(OR(G14=$X$10,G14=$Y$10),$W$10,IF(OR(G14=$X$11,G14=$Y$11),$W$11)))))))</f>
        <v/>
      </c>
      <c r="I14" s="181" t="str">
        <f>+IF(G14="","",IF(G14="N/A","",IF(OR(G14=$X$7,G14=$Y$7),$V$7,IF(OR(G14=$X$8,G14=$Y$8),$V$8,IF(OR(G14=$X$9,G14=$Y$9),$V$9,IF(OR(G14=$X$10,G14=$Y$10),$V$10,IF(OR(G14=$X$11,G14=$Y$11),$V$11)))))))</f>
        <v/>
      </c>
      <c r="J14" s="183"/>
      <c r="K14" s="175" t="str">
        <f>+IF(J14="","",IF(J14="N/A","",IF(OR(J14=$X$7,J14=$Y$7),$W$7,IF(OR(J14=$X$8,J14=$Y$8),$W$8,IF(OR(J14=$X$9,J14=$Y$9),$W$9,IF(OR(J14=$X$10,J14=$Y$10),$W$10,IF(OR(J14=$X$11,J14=$Y$11),$W$11)))))))</f>
        <v/>
      </c>
      <c r="L14" s="181" t="str">
        <f>+IF(J14="","",IF(J14="N/A","",IF(OR(J14=$X$7,J14=$Y$7),$V$7,IF(OR(J14=$X$8,J14=$Y$8),$V$8,IF(OR(J14=$X$9,J14=$Y$9),$V$9,IF(OR(J14=$X$10,J14=$Y$10),$V$10,IF(OR(J14=$X$11,J14=$Y$11),$V$11)))))))</f>
        <v/>
      </c>
      <c r="M14" s="203" t="str">
        <f t="shared" si="6"/>
        <v/>
      </c>
      <c r="N14" s="204" t="str">
        <f>+IF(M14="","",IF(M14=$W$7,$V$7,IF(M14=$W$8,$V$8,IF(M14=$W$9,$V$9,IF(M14=$W$10,$V$10,IF(M14=$W$11,$V$11))))))</f>
        <v/>
      </c>
    </row>
    <row r="15" spans="1:25" ht="73.5" customHeight="1" x14ac:dyDescent="0.25">
      <c r="A15" s="29" t="str">
        <f>'2 CONTEXTO E IDENTIFICACIÓN'!A12</f>
        <v>R7</v>
      </c>
      <c r="B15" s="295" t="str">
        <f>+'2 CONTEXTO E IDENTIFICACIÓN'!E12</f>
        <v>Posibilidad de pérdida Económica y Reputacional por la atención inoportuna de las solicitudes de reparación de acueducto debido a la falta de seguimiento a las ordenes de trabajo generadas, falta de personal operativo para los grupos de trabajo y falta de asignación de recursos o de disponibilidad de materiales.</v>
      </c>
      <c r="C15" s="196">
        <v>365</v>
      </c>
      <c r="D15" s="172" t="str">
        <f>+IF(C15="","",IF(C15&lt;=$S$7,$Q$7,IF(C15&lt;=$S$8,$Q$8,IF(C15&lt;=$S$9,$Q$9,IF(C15&lt;=$S$10,$Q$10,IF(C15&gt;=$R$11,$Q$11,""))))))</f>
        <v>La actividad que conlleva el riesgo se ejecuta de 24 a 500 veces por año</v>
      </c>
      <c r="E15" s="173">
        <f>+IF(D15="","",IF(D15=$Q$7,$T$7,IF(D15=$Q$8,$T$8,IF(D15=$Q$9,$T$9,IF(D15=$Q$10,$T$10,IF(D15=$Q$11,$T$11))))))</f>
        <v>0.6</v>
      </c>
      <c r="F15" s="30" t="str">
        <f>+IF(D15="","",IF(D15=$Q$7,$P$7,IF(D15=$Q$8,$P$8,IF(D15=$Q$9,$P$9,IF(D15=$Q$10,$P$10,IF(D15=$Q$11,$P$11))))))</f>
        <v>Media</v>
      </c>
      <c r="G15" s="183" t="s">
        <v>61</v>
      </c>
      <c r="H15" s="175">
        <f>+IF(G15="","",IF(G15="N/A","",IF(OR(G15=$X$7,G15=$Y$7),$W$7,IF(OR(G15=$X$8,G15=$Y$8),$W$8,IF(OR(G15=$X$9,G15=$Y$9),$W$9,IF(OR(G15=$X$10,G15=$Y$10),$W$10,IF(OR(G15=$X$11,G15=$Y$11),$W$11)))))))</f>
        <v>0.4</v>
      </c>
      <c r="I15" s="181" t="str">
        <f>+IF(G15="","",IF(G15="N/A","",IF(OR(G15=$X$7,G15=$Y$7),$V$7,IF(OR(G15=$X$8,G15=$Y$8),$V$8,IF(OR(G15=$X$9,G15=$Y$9),$V$9,IF(OR(G15=$X$10,G15=$Y$10),$V$10,IF(OR(G15=$X$11,G15=$Y$11),$V$11)))))))</f>
        <v>Menor</v>
      </c>
      <c r="J15" s="183" t="s">
        <v>64</v>
      </c>
      <c r="K15" s="175">
        <f>+IF(J15="","",IF(J15="N/A","",IF(OR(J15=$X$7,J15=$Y$7),$W$7,IF(OR(J15=$X$8,J15=$Y$8),$W$8,IF(OR(J15=$X$9,J15=$Y$9),$W$9,IF(OR(J15=$X$10,J15=$Y$10),$W$10,IF(OR(J15=$X$11,J15=$Y$11),$W$11)))))))</f>
        <v>0.6</v>
      </c>
      <c r="L15" s="181" t="str">
        <f>+IF(J15="","",IF(J15="N/A","",IF(OR(J15=$X$7,J15=$Y$7),$V$7,IF(OR(J15=$X$8,J15=$Y$8),$V$8,IF(OR(J15=$X$9,J15=$Y$9),$V$9,IF(OR(J15=$X$10,J15=$Y$10),$V$10,IF(OR(J15=$X$11,J15=$Y$11),$V$11)))))))</f>
        <v>Moderado</v>
      </c>
      <c r="M15" s="203">
        <f t="shared" si="6"/>
        <v>0.6</v>
      </c>
      <c r="N15" s="204" t="str">
        <f>+IF(M15="","",IF(M15=$W$7,$V$7,IF(M15=$W$8,$V$8,IF(M15=$W$9,$V$9,IF(M15=$W$10,$V$10,IF(M15=$W$11,$V$11))))))</f>
        <v>Moderado</v>
      </c>
    </row>
    <row r="16" spans="1:25" ht="73.5" customHeight="1" x14ac:dyDescent="0.25">
      <c r="A16" s="29" t="str">
        <f>'2 CONTEXTO E IDENTIFICACIÓN'!A13</f>
        <v>R10</v>
      </c>
      <c r="B16" s="295" t="str">
        <f>+'2 CONTEXTO E IDENTIFICACIÓN'!E13</f>
        <v xml:space="preserve">  </v>
      </c>
      <c r="C16" s="196"/>
      <c r="D16" s="172" t="str">
        <f>+IF(C16="","",IF(C16&lt;=$S$7,$Q$7,IF(C16&lt;=$S$8,$Q$8,IF(C16&lt;=$S$9,$Q$9,IF(C16&lt;=$S$10,$Q$10,IF(C16&gt;=$R$11,$Q$11,""))))))</f>
        <v/>
      </c>
      <c r="E16" s="173" t="str">
        <f>+IF(D16="","",IF(D16=$Q$7,$T$7,IF(D16=$Q$8,$T$8,IF(D16=$Q$9,$T$9,IF(D16=$Q$10,$T$10,IF(D16=$Q$11,$T$11))))))</f>
        <v/>
      </c>
      <c r="F16" s="30" t="str">
        <f>+IF(D16="","",IF(D16=$Q$7,$P$7,IF(D16=$Q$8,$P$8,IF(D16=$Q$9,$P$9,IF(D16=$Q$10,$P$10,IF(D16=$Q$11,$P$11))))))</f>
        <v/>
      </c>
      <c r="G16" s="183"/>
      <c r="H16" s="175" t="str">
        <f>+IF(G16="","",IF(G16="N/A","",IF(OR(G16=$X$7,G16=$Y$7),$W$7,IF(OR(G16=$X$8,G16=$Y$8),$W$8,IF(OR(G16=$X$9,G16=$Y$9),$W$9,IF(OR(G16=$X$10,G16=$Y$10),$W$10,IF(OR(G16=$X$11,G16=$Y$11),$W$11)))))))</f>
        <v/>
      </c>
      <c r="I16" s="181" t="str">
        <f>+IF(G16="","",IF(G16="N/A","",IF(OR(G16=$X$7,G16=$Y$7),$V$7,IF(OR(G16=$X$8,G16=$Y$8),$V$8,IF(OR(G16=$X$9,G16=$Y$9),$V$9,IF(OR(G16=$X$10,G16=$Y$10),$V$10,IF(OR(G16=$X$11,G16=$Y$11),$V$11)))))))</f>
        <v/>
      </c>
      <c r="J16" s="183"/>
      <c r="K16" s="175" t="str">
        <f>+IF(J16="","",IF(J16="N/A","",IF(OR(J16=$X$7,J16=$Y$7),$W$7,IF(OR(J16=$X$8,J16=$Y$8),$W$8,IF(OR(J16=$X$9,J16=$Y$9),$W$9,IF(OR(J16=$X$10,J16=$Y$10),$W$10,IF(OR(J16=$X$11,J16=$Y$11),$W$11)))))))</f>
        <v/>
      </c>
      <c r="L16" s="181" t="str">
        <f>+IF(J16="","",IF(J16="N/A","",IF(OR(J16=$X$7,J16=$Y$7),$V$7,IF(OR(J16=$X$8,J16=$Y$8),$V$8,IF(OR(J16=$X$9,J16=$Y$9),$V$9,IF(OR(J16=$X$10,J16=$Y$10),$V$10,IF(OR(J16=$X$11,J16=$Y$11),$V$11)))))))</f>
        <v/>
      </c>
      <c r="M16" s="203" t="str">
        <f t="shared" si="6"/>
        <v/>
      </c>
      <c r="N16" s="204" t="str">
        <f>+IF(M16="","",IF(M16=$W$7,$V$7,IF(M16=$W$8,$V$8,IF(M16=$W$9,$V$9,IF(M16=$W$10,$V$10,IF(M16=$W$11,$V$11))))))</f>
        <v/>
      </c>
    </row>
    <row r="17" spans="1:14" ht="73.5" customHeight="1" x14ac:dyDescent="0.25">
      <c r="A17" s="29" t="str">
        <f>'2 CONTEXTO E IDENTIFICACIÓN'!A14</f>
        <v>R11</v>
      </c>
      <c r="B17" s="295" t="str">
        <f>+'2 CONTEXTO E IDENTIFICACIÓN'!E14</f>
        <v xml:space="preserve">  </v>
      </c>
      <c r="C17" s="196"/>
      <c r="D17" s="172" t="str">
        <f>+IF(C17="","",IF(C17&lt;=$S$7,$Q$7,IF(C17&lt;=$S$8,$Q$8,IF(C17&lt;=$S$9,$Q$9,IF(C17&lt;=$S$10,$Q$10,IF(C17&gt;=$R$11,$Q$11,""))))))</f>
        <v/>
      </c>
      <c r="E17" s="173" t="str">
        <f>+IF(D17="","",IF(D17=$Q$7,$T$7,IF(D17=$Q$8,$T$8,IF(D17=$Q$9,$T$9,IF(D17=$Q$10,$T$10,IF(D17=$Q$11,$T$11))))))</f>
        <v/>
      </c>
      <c r="F17" s="30" t="str">
        <f>+IF(D17="","",IF(D17=$Q$7,$P$7,IF(D17=$Q$8,$P$8,IF(D17=$Q$9,$P$9,IF(D17=$Q$10,$P$10,IF(D17=$Q$11,$P$11))))))</f>
        <v/>
      </c>
      <c r="G17" s="183"/>
      <c r="H17" s="175" t="str">
        <f>+IF(G17="","",IF(G17="N/A","",IF(OR(G17=$X$7,G17=$Y$7),$W$7,IF(OR(G17=$X$8,G17=$Y$8),$W$8,IF(OR(G17=$X$9,G17=$Y$9),$W$9,IF(OR(G17=$X$10,G17=$Y$10),$W$10,IF(OR(G17=$X$11,G17=$Y$11),$W$11)))))))</f>
        <v/>
      </c>
      <c r="I17" s="181" t="str">
        <f>+IF(G17="","",IF(G17="N/A","",IF(OR(G17=$X$7,G17=$Y$7),$V$7,IF(OR(G17=$X$8,G17=$Y$8),$V$8,IF(OR(G17=$X$9,G17=$Y$9),$V$9,IF(OR(G17=$X$10,G17=$Y$10),$V$10,IF(OR(G17=$X$11,G17=$Y$11),$V$11)))))))</f>
        <v/>
      </c>
      <c r="J17" s="183"/>
      <c r="K17" s="175" t="str">
        <f>+IF(J17="","",IF(J17="N/A","",IF(OR(J17=$X$7,J17=$Y$7),$W$7,IF(OR(J17=$X$8,J17=$Y$8),$W$8,IF(OR(J17=$X$9,J17=$Y$9),$W$9,IF(OR(J17=$X$10,J17=$Y$10),$W$10,IF(OR(J17=$X$11,J17=$Y$11),$W$11)))))))</f>
        <v/>
      </c>
      <c r="L17" s="181" t="str">
        <f>+IF(J17="","",IF(J17="N/A","",IF(OR(J17=$X$7,J17=$Y$7),$V$7,IF(OR(J17=$X$8,J17=$Y$8),$V$8,IF(OR(J17=$X$9,J17=$Y$9),$V$9,IF(OR(J17=$X$10,J17=$Y$10),$V$10,IF(OR(J17=$X$11,J17=$Y$11),$V$11)))))))</f>
        <v/>
      </c>
      <c r="M17" s="203" t="str">
        <f t="shared" si="6"/>
        <v/>
      </c>
      <c r="N17" s="204" t="str">
        <f>+IF(M17="","",IF(M17=$W$7,$V$7,IF(M17=$W$8,$V$8,IF(M17=$W$9,$V$9,IF(M17=$W$10,$V$10,IF(M17=$W$11,$V$11))))))</f>
        <v/>
      </c>
    </row>
    <row r="18" spans="1:14" ht="73.5" customHeight="1" x14ac:dyDescent="0.25">
      <c r="A18" s="29" t="str">
        <f>'2 CONTEXTO E IDENTIFICACIÓN'!A15</f>
        <v>R12</v>
      </c>
      <c r="B18" s="295" t="str">
        <f>+'2 CONTEXTO E IDENTIFICACIÓN'!E15</f>
        <v xml:space="preserve">  </v>
      </c>
      <c r="C18" s="196"/>
      <c r="D18" s="172" t="str">
        <f>+IF(C18="","",IF(C18&lt;=$S$7,$Q$7,IF(C18&lt;=$S$8,$Q$8,IF(C18&lt;=$S$9,$Q$9,IF(C18&lt;=$S$10,$Q$10,IF(C18&gt;=$R$11,$Q$11,""))))))</f>
        <v/>
      </c>
      <c r="E18" s="173" t="str">
        <f>+IF(D18="","",IF(D18=$Q$7,$T$7,IF(D18=$Q$8,$T$8,IF(D18=$Q$9,$T$9,IF(D18=$Q$10,$T$10,IF(D18=$Q$11,$T$11))))))</f>
        <v/>
      </c>
      <c r="F18" s="30" t="str">
        <f>+IF(D18="","",IF(D18=$Q$7,$P$7,IF(D18=$Q$8,$P$8,IF(D18=$Q$9,$P$9,IF(D18=$Q$10,$P$10,IF(D18=$Q$11,$P$11))))))</f>
        <v/>
      </c>
      <c r="G18" s="183"/>
      <c r="H18" s="175" t="str">
        <f>+IF(G18="","",IF(G18="N/A","",IF(OR(G18=$X$7,G18=$Y$7),$W$7,IF(OR(G18=$X$8,G18=$Y$8),$W$8,IF(OR(G18=$X$9,G18=$Y$9),$W$9,IF(OR(G18=$X$10,G18=$Y$10),$W$10,IF(OR(G18=$X$11,G18=$Y$11),$W$11)))))))</f>
        <v/>
      </c>
      <c r="I18" s="181" t="str">
        <f>+IF(G18="","",IF(G18="N/A","",IF(OR(G18=$X$7,G18=$Y$7),$V$7,IF(OR(G18=$X$8,G18=$Y$8),$V$8,IF(OR(G18=$X$9,G18=$Y$9),$V$9,IF(OR(G18=$X$10,G18=$Y$10),$V$10,IF(OR(G18=$X$11,G18=$Y$11),$V$11)))))))</f>
        <v/>
      </c>
      <c r="J18" s="183"/>
      <c r="K18" s="175" t="str">
        <f>+IF(J18="","",IF(J18="N/A","",IF(OR(J18=$X$7,J18=$Y$7),$W$7,IF(OR(J18=$X$8,J18=$Y$8),$W$8,IF(OR(J18=$X$9,J18=$Y$9),$W$9,IF(OR(J18=$X$10,J18=$Y$10),$W$10,IF(OR(J18=$X$11,J18=$Y$11),$W$11)))))))</f>
        <v/>
      </c>
      <c r="L18" s="181" t="str">
        <f>+IF(J18="","",IF(J18="N/A","",IF(OR(J18=$X$7,J18=$Y$7),$V$7,IF(OR(J18=$X$8,J18=$Y$8),$V$8,IF(OR(J18=$X$9,J18=$Y$9),$V$9,IF(OR(J18=$X$10,J18=$Y$10),$V$10,IF(OR(J18=$X$11,J18=$Y$11),$V$11)))))))</f>
        <v/>
      </c>
      <c r="M18" s="203" t="str">
        <f t="shared" si="6"/>
        <v/>
      </c>
      <c r="N18" s="204" t="str">
        <f>+IF(M18="","",IF(M18=$W$7,$V$7,IF(M18=$W$8,$V$8,IF(M18=$W$9,$V$9,IF(M18=$W$10,$V$10,IF(M18=$W$11,$V$11))))))</f>
        <v/>
      </c>
    </row>
    <row r="19" spans="1:14" ht="73.5" customHeight="1" x14ac:dyDescent="0.25">
      <c r="A19" s="29" t="str">
        <f>'2 CONTEXTO E IDENTIFICACIÓN'!A16</f>
        <v>R13</v>
      </c>
      <c r="B19" s="295" t="str">
        <f>+'2 CONTEXTO E IDENTIFICACIÓN'!E16</f>
        <v xml:space="preserve">  </v>
      </c>
      <c r="C19" s="196"/>
      <c r="D19" s="172" t="str">
        <f>+IF(C19="","",IF(C19&lt;=$S$7,$Q$7,IF(C19&lt;=$S$8,$Q$8,IF(C19&lt;=$S$9,$Q$9,IF(C19&lt;=$S$10,$Q$10,IF(C19&gt;=$R$11,$Q$11,""))))))</f>
        <v/>
      </c>
      <c r="E19" s="173" t="str">
        <f>+IF(D19="","",IF(D19=$Q$7,$T$7,IF(D19=$Q$8,$T$8,IF(D19=$Q$9,$T$9,IF(D19=$Q$10,$T$10,IF(D19=$Q$11,$T$11))))))</f>
        <v/>
      </c>
      <c r="F19" s="30" t="str">
        <f>+IF(D19="","",IF(D19=$Q$7,$P$7,IF(D19=$Q$8,$P$8,IF(D19=$Q$9,$P$9,IF(D19=$Q$10,$P$10,IF(D19=$Q$11,$P$11))))))</f>
        <v/>
      </c>
      <c r="G19" s="183"/>
      <c r="H19" s="175" t="str">
        <f>+IF(G19="","",IF(G19="N/A","",IF(OR(G19=$X$7,G19=$Y$7),$W$7,IF(OR(G19=$X$8,G19=$Y$8),$W$8,IF(OR(G19=$X$9,G19=$Y$9),$W$9,IF(OR(G19=$X$10,G19=$Y$10),$W$10,IF(OR(G19=$X$11,G19=$Y$11),$W$11)))))))</f>
        <v/>
      </c>
      <c r="I19" s="181" t="str">
        <f>+IF(G19="","",IF(G19="N/A","",IF(OR(G19=$X$7,G19=$Y$7),$V$7,IF(OR(G19=$X$8,G19=$Y$8),$V$8,IF(OR(G19=$X$9,G19=$Y$9),$V$9,IF(OR(G19=$X$10,G19=$Y$10),$V$10,IF(OR(G19=$X$11,G19=$Y$11),$V$11)))))))</f>
        <v/>
      </c>
      <c r="J19" s="183"/>
      <c r="K19" s="175" t="str">
        <f>+IF(J19="","",IF(J19="N/A","",IF(OR(J19=$X$7,J19=$Y$7),$W$7,IF(OR(J19=$X$8,J19=$Y$8),$W$8,IF(OR(J19=$X$9,J19=$Y$9),$W$9,IF(OR(J19=$X$10,J19=$Y$10),$W$10,IF(OR(J19=$X$11,J19=$Y$11),$W$11)))))))</f>
        <v/>
      </c>
      <c r="L19" s="181" t="str">
        <f>+IF(J19="","",IF(J19="N/A","",IF(OR(J19=$X$7,J19=$Y$7),$V$7,IF(OR(J19=$X$8,J19=$Y$8),$V$8,IF(OR(J19=$X$9,J19=$Y$9),$V$9,IF(OR(J19=$X$10,J19=$Y$10),$V$10,IF(OR(J19=$X$11,J19=$Y$11),$V$11)))))))</f>
        <v/>
      </c>
      <c r="M19" s="203" t="str">
        <f t="shared" si="6"/>
        <v/>
      </c>
      <c r="N19" s="204" t="str">
        <f>+IF(M19="","",IF(M19=$W$7,$V$7,IF(M19=$W$8,$V$8,IF(M19=$W$9,$V$9,IF(M19=$W$10,$V$10,IF(M19=$W$11,$V$11))))))</f>
        <v/>
      </c>
    </row>
    <row r="20" spans="1:14" ht="73.5" customHeight="1" x14ac:dyDescent="0.25">
      <c r="A20" s="29" t="str">
        <f>'2 CONTEXTO E IDENTIFICACIÓN'!A17</f>
        <v>R14</v>
      </c>
      <c r="B20" s="295" t="str">
        <f>+'2 CONTEXTO E IDENTIFICACIÓN'!E17</f>
        <v xml:space="preserve">  </v>
      </c>
      <c r="C20" s="196"/>
      <c r="D20" s="172" t="str">
        <f>+IF(C20="","",IF(C20&lt;=$S$7,$Q$7,IF(C20&lt;=$S$8,$Q$8,IF(C20&lt;=$S$9,$Q$9,IF(C20&lt;=$S$10,$Q$10,IF(C20&gt;=$R$11,$Q$11,""))))))</f>
        <v/>
      </c>
      <c r="E20" s="173" t="str">
        <f>+IF(D20="","",IF(D20=$Q$7,$T$7,IF(D20=$Q$8,$T$8,IF(D20=$Q$9,$T$9,IF(D20=$Q$10,$T$10,IF(D20=$Q$11,$T$11))))))</f>
        <v/>
      </c>
      <c r="F20" s="30" t="str">
        <f>+IF(D20="","",IF(D20=$Q$7,$P$7,IF(D20=$Q$8,$P$8,IF(D20=$Q$9,$P$9,IF(D20=$Q$10,$P$10,IF(D20=$Q$11,$P$11))))))</f>
        <v/>
      </c>
      <c r="G20" s="183"/>
      <c r="H20" s="175" t="str">
        <f>+IF(G20="","",IF(G20="N/A","",IF(OR(G20=$X$7,G20=$Y$7),$W$7,IF(OR(G20=$X$8,G20=$Y$8),$W$8,IF(OR(G20=$X$9,G20=$Y$9),$W$9,IF(OR(G20=$X$10,G20=$Y$10),$W$10,IF(OR(G20=$X$11,G20=$Y$11),$W$11)))))))</f>
        <v/>
      </c>
      <c r="I20" s="181" t="str">
        <f>+IF(G20="","",IF(G20="N/A","",IF(OR(G20=$X$7,G20=$Y$7),$V$7,IF(OR(G20=$X$8,G20=$Y$8),$V$8,IF(OR(G20=$X$9,G20=$Y$9),$V$9,IF(OR(G20=$X$10,G20=$Y$10),$V$10,IF(OR(G20=$X$11,G20=$Y$11),$V$11)))))))</f>
        <v/>
      </c>
      <c r="J20" s="183"/>
      <c r="K20" s="175" t="str">
        <f>+IF(J20="","",IF(J20="N/A","",IF(OR(J20=$X$7,J20=$Y$7),$W$7,IF(OR(J20=$X$8,J20=$Y$8),$W$8,IF(OR(J20=$X$9,J20=$Y$9),$W$9,IF(OR(J20=$X$10,J20=$Y$10),$W$10,IF(OR(J20=$X$11,J20=$Y$11),$W$11)))))))</f>
        <v/>
      </c>
      <c r="L20" s="181" t="str">
        <f>+IF(J20="","",IF(J20="N/A","",IF(OR(J20=$X$7,J20=$Y$7),$V$7,IF(OR(J20=$X$8,J20=$Y$8),$V$8,IF(OR(J20=$X$9,J20=$Y$9),$V$9,IF(OR(J20=$X$10,J20=$Y$10),$V$10,IF(OR(J20=$X$11,J20=$Y$11),$V$11)))))))</f>
        <v/>
      </c>
      <c r="M20" s="203" t="str">
        <f t="shared" si="6"/>
        <v/>
      </c>
      <c r="N20" s="204" t="str">
        <f>+IF(M20="","",IF(M20=$W$7,$V$7,IF(M20=$W$8,$V$8,IF(M20=$W$9,$V$9,IF(M20=$W$10,$V$10,IF(M20=$W$11,$V$11))))))</f>
        <v/>
      </c>
    </row>
    <row r="21" spans="1:14" ht="73.5" customHeight="1" x14ac:dyDescent="0.25">
      <c r="A21" s="29" t="str">
        <f>'2 CONTEXTO E IDENTIFICACIÓN'!A18</f>
        <v>R15</v>
      </c>
      <c r="B21" s="295" t="str">
        <f>+'2 CONTEXTO E IDENTIFICACIÓN'!E18</f>
        <v xml:space="preserve">  </v>
      </c>
      <c r="C21" s="196"/>
      <c r="D21" s="172" t="str">
        <f>+IF(C21="","",IF(C21&lt;=$S$7,$Q$7,IF(C21&lt;=$S$8,$Q$8,IF(C21&lt;=$S$9,$Q$9,IF(C21&lt;=$S$10,$Q$10,IF(C21&gt;=$R$11,$Q$11,""))))))</f>
        <v/>
      </c>
      <c r="E21" s="173" t="str">
        <f>+IF(D21="","",IF(D21=$Q$7,$T$7,IF(D21=$Q$8,$T$8,IF(D21=$Q$9,$T$9,IF(D21=$Q$10,$T$10,IF(D21=$Q$11,$T$11))))))</f>
        <v/>
      </c>
      <c r="F21" s="30" t="str">
        <f>+IF(D21="","",IF(D21=$Q$7,$P$7,IF(D21=$Q$8,$P$8,IF(D21=$Q$9,$P$9,IF(D21=$Q$10,$P$10,IF(D21=$Q$11,$P$11))))))</f>
        <v/>
      </c>
      <c r="G21" s="183"/>
      <c r="H21" s="175" t="str">
        <f>+IF(G21="","",IF(G21="N/A","",IF(OR(G21=$X$7,G21=$Y$7),$W$7,IF(OR(G21=$X$8,G21=$Y$8),$W$8,IF(OR(G21=$X$9,G21=$Y$9),$W$9,IF(OR(G21=$X$10,G21=$Y$10),$W$10,IF(OR(G21=$X$11,G21=$Y$11),$W$11)))))))</f>
        <v/>
      </c>
      <c r="I21" s="181" t="str">
        <f>+IF(G21="","",IF(G21="N/A","",IF(OR(G21=$X$7,G21=$Y$7),$V$7,IF(OR(G21=$X$8,G21=$Y$8),$V$8,IF(OR(G21=$X$9,G21=$Y$9),$V$9,IF(OR(G21=$X$10,G21=$Y$10),$V$10,IF(OR(G21=$X$11,G21=$Y$11),$V$11)))))))</f>
        <v/>
      </c>
      <c r="J21" s="183"/>
      <c r="K21" s="175" t="str">
        <f>+IF(J21="","",IF(J21="N/A","",IF(OR(J21=$X$7,J21=$Y$7),$W$7,IF(OR(J21=$X$8,J21=$Y$8),$W$8,IF(OR(J21=$X$9,J21=$Y$9),$W$9,IF(OR(J21=$X$10,J21=$Y$10),$W$10,IF(OR(J21=$X$11,J21=$Y$11),$W$11)))))))</f>
        <v/>
      </c>
      <c r="L21" s="181" t="str">
        <f>+IF(J21="","",IF(J21="N/A","",IF(OR(J21=$X$7,J21=$Y$7),$V$7,IF(OR(J21=$X$8,J21=$Y$8),$V$8,IF(OR(J21=$X$9,J21=$Y$9),$V$9,IF(OR(J21=$X$10,J21=$Y$10),$V$10,IF(OR(J21=$X$11,J21=$Y$11),$V$11)))))))</f>
        <v/>
      </c>
      <c r="M21" s="203" t="str">
        <f t="shared" si="6"/>
        <v/>
      </c>
      <c r="N21" s="204" t="str">
        <f>+IF(M21="","",IF(M21=$W$7,$V$7,IF(M21=$W$8,$V$8,IF(M21=$W$9,$V$9,IF(M21=$W$10,$V$10,IF(M21=$W$11,$V$11))))))</f>
        <v/>
      </c>
    </row>
    <row r="22" spans="1:14" ht="73.5" customHeight="1" x14ac:dyDescent="0.25">
      <c r="A22" s="29" t="str">
        <f>'2 CONTEXTO E IDENTIFICACIÓN'!A19</f>
        <v>R16</v>
      </c>
      <c r="B22" s="295" t="str">
        <f>+'2 CONTEXTO E IDENTIFICACIÓN'!E19</f>
        <v xml:space="preserve">  </v>
      </c>
      <c r="C22" s="196"/>
      <c r="D22" s="172" t="str">
        <f>+IF(C22="","",IF(C22&lt;=$S$7,$Q$7,IF(C22&lt;=$S$8,$Q$8,IF(C22&lt;=$S$9,$Q$9,IF(C22&lt;=$S$10,$Q$10,IF(C22&gt;=$R$11,$Q$11,""))))))</f>
        <v/>
      </c>
      <c r="E22" s="173" t="str">
        <f>+IF(D22="","",IF(D22=$Q$7,$T$7,IF(D22=$Q$8,$T$8,IF(D22=$Q$9,$T$9,IF(D22=$Q$10,$T$10,IF(D22=$Q$11,$T$11))))))</f>
        <v/>
      </c>
      <c r="F22" s="30" t="str">
        <f>+IF(D22="","",IF(D22=$Q$7,$P$7,IF(D22=$Q$8,$P$8,IF(D22=$Q$9,$P$9,IF(D22=$Q$10,$P$10,IF(D22=$Q$11,$P$11))))))</f>
        <v/>
      </c>
      <c r="G22" s="183"/>
      <c r="H22" s="175" t="str">
        <f>+IF(G22="","",IF(G22="N/A","",IF(OR(G22=$X$7,G22=$Y$7),$W$7,IF(OR(G22=$X$8,G22=$Y$8),$W$8,IF(OR(G22=$X$9,G22=$Y$9),$W$9,IF(OR(G22=$X$10,G22=$Y$10),$W$10,IF(OR(G22=$X$11,G22=$Y$11),$W$11)))))))</f>
        <v/>
      </c>
      <c r="I22" s="181" t="str">
        <f>+IF(G22="","",IF(G22="N/A","",IF(OR(G22=$X$7,G22=$Y$7),$V$7,IF(OR(G22=$X$8,G22=$Y$8),$V$8,IF(OR(G22=$X$9,G22=$Y$9),$V$9,IF(OR(G22=$X$10,G22=$Y$10),$V$10,IF(OR(G22=$X$11,G22=$Y$11),$V$11)))))))</f>
        <v/>
      </c>
      <c r="J22" s="183"/>
      <c r="K22" s="175" t="str">
        <f>+IF(J22="","",IF(J22="N/A","",IF(OR(J22=$X$7,J22=$Y$7),$W$7,IF(OR(J22=$X$8,J22=$Y$8),$W$8,IF(OR(J22=$X$9,J22=$Y$9),$W$9,IF(OR(J22=$X$10,J22=$Y$10),$W$10,IF(OR(J22=$X$11,J22=$Y$11),$W$11)))))))</f>
        <v/>
      </c>
      <c r="L22" s="181" t="str">
        <f>+IF(J22="","",IF(J22="N/A","",IF(OR(J22=$X$7,J22=$Y$7),$V$7,IF(OR(J22=$X$8,J22=$Y$8),$V$8,IF(OR(J22=$X$9,J22=$Y$9),$V$9,IF(OR(J22=$X$10,J22=$Y$10),$V$10,IF(OR(J22=$X$11,J22=$Y$11),$V$11)))))))</f>
        <v/>
      </c>
      <c r="M22" s="203" t="str">
        <f t="shared" si="6"/>
        <v/>
      </c>
      <c r="N22" s="204" t="str">
        <f>+IF(M22="","",IF(M22=$W$7,$V$7,IF(M22=$W$8,$V$8,IF(M22=$W$9,$V$9,IF(M22=$W$10,$V$10,IF(M22=$W$11,$V$11))))))</f>
        <v/>
      </c>
    </row>
    <row r="23" spans="1:14" ht="73.5" customHeight="1" x14ac:dyDescent="0.25">
      <c r="A23" s="29" t="str">
        <f>'2 CONTEXTO E IDENTIFICACIÓN'!A20</f>
        <v>R17</v>
      </c>
      <c r="B23" s="295" t="str">
        <f>+'2 CONTEXTO E IDENTIFICACIÓN'!E20</f>
        <v xml:space="preserve">  </v>
      </c>
      <c r="C23" s="196"/>
      <c r="D23" s="172" t="str">
        <f>+IF(C23="","",IF(C23&lt;=$S$7,$Q$7,IF(C23&lt;=$S$8,$Q$8,IF(C23&lt;=$S$9,$Q$9,IF(C23&lt;=$S$10,$Q$10,IF(C23&gt;=$R$11,$Q$11,""))))))</f>
        <v/>
      </c>
      <c r="E23" s="173" t="str">
        <f>+IF(D23="","",IF(D23=$Q$7,$T$7,IF(D23=$Q$8,$T$8,IF(D23=$Q$9,$T$9,IF(D23=$Q$10,$T$10,IF(D23=$Q$11,$T$11))))))</f>
        <v/>
      </c>
      <c r="F23" s="30" t="str">
        <f>+IF(D23="","",IF(D23=$Q$7,$P$7,IF(D23=$Q$8,$P$8,IF(D23=$Q$9,$P$9,IF(D23=$Q$10,$P$10,IF(D23=$Q$11,$P$11))))))</f>
        <v/>
      </c>
      <c r="G23" s="183"/>
      <c r="H23" s="175" t="str">
        <f>+IF(G23="","",IF(G23="N/A","",IF(OR(G23=$X$7,G23=$Y$7),$W$7,IF(OR(G23=$X$8,G23=$Y$8),$W$8,IF(OR(G23=$X$9,G23=$Y$9),$W$9,IF(OR(G23=$X$10,G23=$Y$10),$W$10,IF(OR(G23=$X$11,G23=$Y$11),$W$11)))))))</f>
        <v/>
      </c>
      <c r="I23" s="181" t="str">
        <f>+IF(G23="","",IF(G23="N/A","",IF(OR(G23=$X$7,G23=$Y$7),$V$7,IF(OR(G23=$X$8,G23=$Y$8),$V$8,IF(OR(G23=$X$9,G23=$Y$9),$V$9,IF(OR(G23=$X$10,G23=$Y$10),$V$10,IF(OR(G23=$X$11,G23=$Y$11),$V$11)))))))</f>
        <v/>
      </c>
      <c r="J23" s="183"/>
      <c r="K23" s="175" t="str">
        <f>+IF(J23="","",IF(J23="N/A","",IF(OR(J23=$X$7,J23=$Y$7),$W$7,IF(OR(J23=$X$8,J23=$Y$8),$W$8,IF(OR(J23=$X$9,J23=$Y$9),$W$9,IF(OR(J23=$X$10,J23=$Y$10),$W$10,IF(OR(J23=$X$11,J23=$Y$11),$W$11)))))))</f>
        <v/>
      </c>
      <c r="L23" s="181" t="str">
        <f>+IF(J23="","",IF(J23="N/A","",IF(OR(J23=$X$7,J23=$Y$7),$V$7,IF(OR(J23=$X$8,J23=$Y$8),$V$8,IF(OR(J23=$X$9,J23=$Y$9),$V$9,IF(OR(J23=$X$10,J23=$Y$10),$V$10,IF(OR(J23=$X$11,J23=$Y$11),$V$11)))))))</f>
        <v/>
      </c>
      <c r="M23" s="203" t="str">
        <f t="shared" si="6"/>
        <v/>
      </c>
      <c r="N23" s="204" t="str">
        <f>+IF(M23="","",IF(M23=$W$7,$V$7,IF(M23=$W$8,$V$8,IF(M23=$W$9,$V$9,IF(M23=$W$10,$V$10,IF(M23=$W$11,$V$11))))))</f>
        <v/>
      </c>
    </row>
    <row r="24" spans="1:14" ht="73.5" customHeight="1" x14ac:dyDescent="0.25">
      <c r="A24" s="29" t="str">
        <f>'2 CONTEXTO E IDENTIFICACIÓN'!A21</f>
        <v>R18</v>
      </c>
      <c r="B24" s="295" t="str">
        <f>+'2 CONTEXTO E IDENTIFICACIÓN'!E21</f>
        <v xml:space="preserve">  </v>
      </c>
      <c r="C24" s="196"/>
      <c r="D24" s="172" t="str">
        <f>+IF(C24="","",IF(C24&lt;=$S$7,$Q$7,IF(C24&lt;=$S$8,$Q$8,IF(C24&lt;=$S$9,$Q$9,IF(C24&lt;=$S$10,$Q$10,IF(C24&gt;=$R$11,$Q$11,""))))))</f>
        <v/>
      </c>
      <c r="E24" s="173" t="str">
        <f>+IF(D24="","",IF(D24=$Q$7,$T$7,IF(D24=$Q$8,$T$8,IF(D24=$Q$9,$T$9,IF(D24=$Q$10,$T$10,IF(D24=$Q$11,$T$11))))))</f>
        <v/>
      </c>
      <c r="F24" s="30" t="str">
        <f>+IF(D24="","",IF(D24=$Q$7,$P$7,IF(D24=$Q$8,$P$8,IF(D24=$Q$9,$P$9,IF(D24=$Q$10,$P$10,IF(D24=$Q$11,$P$11))))))</f>
        <v/>
      </c>
      <c r="G24" s="183"/>
      <c r="H24" s="175" t="str">
        <f>+IF(G24="","",IF(G24="N/A","",IF(OR(G24=$X$7,G24=$Y$7),$W$7,IF(OR(G24=$X$8,G24=$Y$8),$W$8,IF(OR(G24=$X$9,G24=$Y$9),$W$9,IF(OR(G24=$X$10,G24=$Y$10),$W$10,IF(OR(G24=$X$11,G24=$Y$11),$W$11)))))))</f>
        <v/>
      </c>
      <c r="I24" s="181" t="str">
        <f>+IF(G24="","",IF(G24="N/A","",IF(OR(G24=$X$7,G24=$Y$7),$V$7,IF(OR(G24=$X$8,G24=$Y$8),$V$8,IF(OR(G24=$X$9,G24=$Y$9),$V$9,IF(OR(G24=$X$10,G24=$Y$10),$V$10,IF(OR(G24=$X$11,G24=$Y$11),$V$11)))))))</f>
        <v/>
      </c>
      <c r="J24" s="183"/>
      <c r="K24" s="175" t="str">
        <f>+IF(J24="","",IF(J24="N/A","",IF(OR(J24=$X$7,J24=$Y$7),$W$7,IF(OR(J24=$X$8,J24=$Y$8),$W$8,IF(OR(J24=$X$9,J24=$Y$9),$W$9,IF(OR(J24=$X$10,J24=$Y$10),$W$10,IF(OR(J24=$X$11,J24=$Y$11),$W$11)))))))</f>
        <v/>
      </c>
      <c r="L24" s="181" t="str">
        <f>+IF(J24="","",IF(J24="N/A","",IF(OR(J24=$X$7,J24=$Y$7),$V$7,IF(OR(J24=$X$8,J24=$Y$8),$V$8,IF(OR(J24=$X$9,J24=$Y$9),$V$9,IF(OR(J24=$X$10,J24=$Y$10),$V$10,IF(OR(J24=$X$11,J24=$Y$11),$V$11)))))))</f>
        <v/>
      </c>
      <c r="M24" s="203" t="str">
        <f t="shared" si="6"/>
        <v/>
      </c>
      <c r="N24" s="204" t="str">
        <f>+IF(M24="","",IF(M24=$W$7,$V$7,IF(M24=$W$8,$V$8,IF(M24=$W$9,$V$9,IF(M24=$W$10,$V$10,IF(M24=$W$11,$V$11))))))</f>
        <v/>
      </c>
    </row>
    <row r="25" spans="1:14" ht="73.5" customHeight="1" x14ac:dyDescent="0.25">
      <c r="A25" s="29" t="str">
        <f>'2 CONTEXTO E IDENTIFICACIÓN'!A22</f>
        <v>R19</v>
      </c>
      <c r="B25" s="295" t="str">
        <f>+'2 CONTEXTO E IDENTIFICACIÓN'!E22</f>
        <v xml:space="preserve">  </v>
      </c>
      <c r="C25" s="196"/>
      <c r="D25" s="172" t="str">
        <f>+IF(C25="","",IF(C25&lt;=$S$7,$Q$7,IF(C25&lt;=$S$8,$Q$8,IF(C25&lt;=$S$9,$Q$9,IF(C25&lt;=$S$10,$Q$10,IF(C25&gt;=$R$11,$Q$11,""))))))</f>
        <v/>
      </c>
      <c r="E25" s="173" t="str">
        <f>+IF(D25="","",IF(D25=$Q$7,$T$7,IF(D25=$Q$8,$T$8,IF(D25=$Q$9,$T$9,IF(D25=$Q$10,$T$10,IF(D25=$Q$11,$T$11))))))</f>
        <v/>
      </c>
      <c r="F25" s="30" t="str">
        <f>+IF(D25="","",IF(D25=$Q$7,$P$7,IF(D25=$Q$8,$P$8,IF(D25=$Q$9,$P$9,IF(D25=$Q$10,$P$10,IF(D25=$Q$11,$P$11))))))</f>
        <v/>
      </c>
      <c r="G25" s="183"/>
      <c r="H25" s="175" t="str">
        <f>+IF(G25="","",IF(G25="N/A","",IF(OR(G25=$X$7,G25=$Y$7),$W$7,IF(OR(G25=$X$8,G25=$Y$8),$W$8,IF(OR(G25=$X$9,G25=$Y$9),$W$9,IF(OR(G25=$X$10,G25=$Y$10),$W$10,IF(OR(G25=$X$11,G25=$Y$11),$W$11)))))))</f>
        <v/>
      </c>
      <c r="I25" s="181" t="str">
        <f>+IF(G25="","",IF(G25="N/A","",IF(OR(G25=$X$7,G25=$Y$7),$V$7,IF(OR(G25=$X$8,G25=$Y$8),$V$8,IF(OR(G25=$X$9,G25=$Y$9),$V$9,IF(OR(G25=$X$10,G25=$Y$10),$V$10,IF(OR(G25=$X$11,G25=$Y$11),$V$11)))))))</f>
        <v/>
      </c>
      <c r="J25" s="183"/>
      <c r="K25" s="175" t="str">
        <f>+IF(J25="","",IF(J25="N/A","",IF(OR(J25=$X$7,J25=$Y$7),$W$7,IF(OR(J25=$X$8,J25=$Y$8),$W$8,IF(OR(J25=$X$9,J25=$Y$9),$W$9,IF(OR(J25=$X$10,J25=$Y$10),$W$10,IF(OR(J25=$X$11,J25=$Y$11),$W$11)))))))</f>
        <v/>
      </c>
      <c r="L25" s="181" t="str">
        <f>+IF(J25="","",IF(J25="N/A","",IF(OR(J25=$X$7,J25=$Y$7),$V$7,IF(OR(J25=$X$8,J25=$Y$8),$V$8,IF(OR(J25=$X$9,J25=$Y$9),$V$9,IF(OR(J25=$X$10,J25=$Y$10),$V$10,IF(OR(J25=$X$11,J25=$Y$11),$V$11)))))))</f>
        <v/>
      </c>
      <c r="M25" s="203" t="str">
        <f t="shared" si="6"/>
        <v/>
      </c>
      <c r="N25" s="204" t="str">
        <f>+IF(M25="","",IF(M25=$W$7,$V$7,IF(M25=$W$8,$V$8,IF(M25=$W$9,$V$9,IF(M25=$W$10,$V$10,IF(M25=$W$11,$V$11))))))</f>
        <v/>
      </c>
    </row>
    <row r="26" spans="1:14" ht="73.5" customHeight="1" thickBot="1" x14ac:dyDescent="0.3">
      <c r="A26" s="45" t="str">
        <f>'2 CONTEXTO E IDENTIFICACIÓN'!A23</f>
        <v>R20</v>
      </c>
      <c r="B26" s="296" t="str">
        <f>+'2 CONTEXTO E IDENTIFICACIÓN'!E23</f>
        <v xml:space="preserve">  </v>
      </c>
      <c r="C26" s="197"/>
      <c r="D26" s="185" t="str">
        <f>+IF(C26="","",IF(C26&lt;=$S$7,$Q$7,IF(C26&lt;=$S$8,$Q$8,IF(C26&lt;=$S$9,$Q$9,IF(C26&lt;=$S$10,$Q$10,IF(C26&gt;=$R$11,$Q$11,""))))))</f>
        <v/>
      </c>
      <c r="E26" s="174" t="str">
        <f>+IF(D26="","",IF(D26=$Q$7,$T$7,IF(D26=$Q$8,$T$8,IF(D26=$Q$9,$T$9,IF(D26=$Q$10,$T$10,IF(D26=$Q$11,$T$11))))))</f>
        <v/>
      </c>
      <c r="F26" s="46" t="str">
        <f>+IF(D26="","",IF(D26=$Q$7,$P$7,IF(D26=$Q$8,$P$8,IF(D26=$Q$9,$P$9,IF(D26=$Q$10,$P$10,IF(D26=$Q$11,$P$11))))))</f>
        <v/>
      </c>
      <c r="G26" s="184"/>
      <c r="H26" s="179" t="str">
        <f>+IF(G26="","",IF(G26="N/A","",IF(OR(G26=$X$7,G26=$Y$7),$W$7,IF(OR(G26=$X$8,G26=$Y$8),$W$8,IF(OR(G26=$X$9,G26=$Y$9),$W$9,IF(OR(G26=$X$10,G26=$Y$10),$W$10,IF(OR(G26=$X$11,G26=$Y$11),$W$11)))))))</f>
        <v/>
      </c>
      <c r="I26" s="182" t="str">
        <f>+IF(G26="","",IF(G26="N/A","",IF(OR(G26=$X$7,G26=$Y$7),$V$7,IF(OR(G26=$X$8,G26=$Y$8),$V$8,IF(OR(G26=$X$9,G26=$Y$9),$V$9,IF(OR(G26=$X$10,G26=$Y$10),$V$10,IF(OR(G26=$X$11,G26=$Y$11),$V$11)))))))</f>
        <v/>
      </c>
      <c r="J26" s="184"/>
      <c r="K26" s="179" t="str">
        <f>+IF(J26="","",IF(J26="N/A","",IF(OR(J26=$X$7,J26=$Y$7),$W$7,IF(OR(J26=$X$8,J26=$Y$8),$W$8,IF(OR(J26=$X$9,J26=$Y$9),$W$9,IF(OR(J26=$X$10,J26=$Y$10),$W$10,IF(OR(J26=$X$11,J26=$Y$11),$W$11)))))))</f>
        <v/>
      </c>
      <c r="L26" s="182" t="str">
        <f>+IF(J26="","",IF(J26="N/A","",IF(OR(J26=$X$7,J26=$Y$7),$V$7,IF(OR(J26=$X$8,J26=$Y$8),$V$8,IF(OR(J26=$X$9,J26=$Y$9),$V$9,IF(OR(J26=$X$10,J26=$Y$10),$V$10,IF(OR(J26=$X$11,J26=$Y$11),$V$11)))))))</f>
        <v/>
      </c>
      <c r="M26" s="205" t="str">
        <f t="shared" si="6"/>
        <v/>
      </c>
      <c r="N26" s="206" t="str">
        <f>+IF(M26="","",IF(M26=$W$7,$V$7,IF(M26=$W$8,$V$8,IF(M26=$W$9,$V$9,IF(M26=$W$10,$V$10,IF(M26=$W$11,$V$11))))))</f>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189" priority="1" operator="equal">
      <formula>$T$7</formula>
    </cfRule>
    <cfRule type="cellIs" dxfId="188" priority="2" operator="equal">
      <formula>$T$8</formula>
    </cfRule>
    <cfRule type="cellIs" dxfId="187" priority="3" operator="equal">
      <formula>$T$9</formula>
    </cfRule>
    <cfRule type="cellIs" dxfId="186" priority="4" operator="equal">
      <formula>$T$10</formula>
    </cfRule>
    <cfRule type="cellIs" dxfId="185" priority="5" operator="equal">
      <formula>$T$11</formula>
    </cfRule>
  </conditionalFormatting>
  <conditionalFormatting sqref="F7:F26">
    <cfRule type="cellIs" dxfId="184" priority="159" operator="equal">
      <formula>$P$7</formula>
    </cfRule>
    <cfRule type="cellIs" dxfId="183" priority="160" operator="equal">
      <formula>$P$8</formula>
    </cfRule>
    <cfRule type="cellIs" dxfId="182" priority="161" operator="equal">
      <formula>$P$9</formula>
    </cfRule>
    <cfRule type="cellIs" dxfId="181" priority="162" operator="equal">
      <formula>$P$10</formula>
    </cfRule>
    <cfRule type="cellIs" dxfId="180" priority="163" operator="equal">
      <formula>$P$11</formula>
    </cfRule>
  </conditionalFormatting>
  <conditionalFormatting sqref="H7:H26">
    <cfRule type="cellIs" dxfId="179" priority="76" operator="equal">
      <formula>$W$7</formula>
    </cfRule>
    <cfRule type="cellIs" dxfId="178" priority="77" operator="equal">
      <formula>$W$8</formula>
    </cfRule>
    <cfRule type="cellIs" dxfId="177" priority="78" operator="equal">
      <formula>$W$9</formula>
    </cfRule>
    <cfRule type="cellIs" dxfId="176" priority="79" operator="equal">
      <formula>$W$10</formula>
    </cfRule>
    <cfRule type="cellIs" dxfId="175" priority="80" operator="equal">
      <formula>$W$11</formula>
    </cfRule>
  </conditionalFormatting>
  <conditionalFormatting sqref="I7:J26">
    <cfRule type="cellIs" dxfId="174" priority="81" operator="equal">
      <formula>$V$7</formula>
    </cfRule>
    <cfRule type="cellIs" dxfId="173" priority="82" operator="equal">
      <formula>$V$8</formula>
    </cfRule>
    <cfRule type="cellIs" dxfId="172" priority="83" operator="equal">
      <formula>$V$9</formula>
    </cfRule>
    <cfRule type="cellIs" dxfId="171" priority="84" operator="equal">
      <formula>$V$10</formula>
    </cfRule>
    <cfRule type="cellIs" dxfId="170" priority="85" operator="equal">
      <formula>$V$11</formula>
    </cfRule>
  </conditionalFormatting>
  <conditionalFormatting sqref="K7:K26">
    <cfRule type="cellIs" dxfId="169" priority="61" operator="equal">
      <formula>$W$7</formula>
    </cfRule>
    <cfRule type="cellIs" dxfId="168" priority="62" operator="equal">
      <formula>$W$8</formula>
    </cfRule>
    <cfRule type="cellIs" dxfId="167" priority="63" operator="equal">
      <formula>$W$9</formula>
    </cfRule>
    <cfRule type="cellIs" dxfId="166" priority="64" operator="equal">
      <formula>$W$10</formula>
    </cfRule>
    <cfRule type="cellIs" dxfId="165" priority="65" operator="equal">
      <formula>$W$11</formula>
    </cfRule>
  </conditionalFormatting>
  <conditionalFormatting sqref="L7:L26">
    <cfRule type="cellIs" dxfId="164" priority="96" operator="equal">
      <formula>$V$7</formula>
    </cfRule>
    <cfRule type="cellIs" dxfId="163" priority="97" operator="equal">
      <formula>$V$8</formula>
    </cfRule>
    <cfRule type="cellIs" dxfId="162" priority="98" operator="equal">
      <formula>$V$9</formula>
    </cfRule>
    <cfRule type="cellIs" dxfId="161" priority="99" operator="equal">
      <formula>$V$10</formula>
    </cfRule>
    <cfRule type="cellIs" dxfId="160" priority="100" operator="equal">
      <formula>$V$11</formula>
    </cfRule>
  </conditionalFormatting>
  <conditionalFormatting sqref="M7:M26">
    <cfRule type="cellIs" dxfId="159" priority="6" operator="equal">
      <formula>$W$7</formula>
    </cfRule>
    <cfRule type="cellIs" dxfId="158" priority="7" operator="equal">
      <formula>$W$8</formula>
    </cfRule>
    <cfRule type="cellIs" dxfId="157" priority="8" operator="equal">
      <formula>$W$9</formula>
    </cfRule>
    <cfRule type="cellIs" dxfId="156" priority="9" operator="equal">
      <formula>$W$10</formula>
    </cfRule>
    <cfRule type="cellIs" dxfId="155" priority="10" operator="equal">
      <formula>$W$11</formula>
    </cfRule>
  </conditionalFormatting>
  <conditionalFormatting sqref="N7:N26">
    <cfRule type="cellIs" dxfId="154" priority="31" operator="equal">
      <formula>$V$7</formula>
    </cfRule>
    <cfRule type="cellIs" dxfId="153" priority="32" operator="equal">
      <formula>$V$8</formula>
    </cfRule>
    <cfRule type="cellIs" dxfId="152" priority="33" operator="equal">
      <formula>$V$9</formula>
    </cfRule>
    <cfRule type="cellIs" dxfId="151" priority="34" operator="equal">
      <formula>$V$10</formula>
    </cfRule>
    <cfRule type="cellIs" dxfId="150"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topLeftCell="A9" zoomScale="70" zoomScaleNormal="70" workbookViewId="0">
      <selection activeCell="B8" sqref="B8"/>
    </sheetView>
  </sheetViews>
  <sheetFormatPr baseColWidth="10" defaultColWidth="14.28515625" defaultRowHeight="12.75" x14ac:dyDescent="0.25"/>
  <cols>
    <col min="1" max="1" width="22.42578125" style="77" customWidth="1"/>
    <col min="2" max="2" width="27"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3" width="12.42578125" style="82" customWidth="1"/>
    <col min="14" max="14" width="3.8554687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x14ac:dyDescent="0.2">
      <c r="A1" s="71"/>
      <c r="B1" s="69"/>
      <c r="C1" s="49"/>
      <c r="D1" s="70"/>
      <c r="E1" s="69"/>
      <c r="F1" s="69"/>
      <c r="G1" s="69"/>
      <c r="I1" s="213" t="e">
        <f>+'2 CONTEXTO E IDENTIFICACIÓN'!#REF!</f>
        <v>#REF!</v>
      </c>
      <c r="J1" s="326" t="e">
        <f>+IF('2 CONTEXTO E IDENTIFICACIÓN'!#REF!="","",'2 CONTEXTO E IDENTIFICACIÓN'!#REF!)</f>
        <v>#REF!</v>
      </c>
      <c r="K1" s="212" t="s">
        <v>105</v>
      </c>
      <c r="L1" s="326" t="e">
        <f>+IF('2 CONTEXTO E IDENTIFICACIÓN'!#REF!="","",'2 CONTEXTO E IDENTIFICACIÓN'!#REF!)</f>
        <v>#REF!</v>
      </c>
      <c r="M1" s="70"/>
      <c r="N1" s="69"/>
      <c r="AD1" s="68"/>
      <c r="AE1" s="68"/>
      <c r="AF1" s="68"/>
      <c r="AG1" s="68"/>
      <c r="AH1" s="68"/>
    </row>
    <row r="2" spans="1:36" s="67" customFormat="1" ht="24.75" customHeight="1" x14ac:dyDescent="0.2">
      <c r="A2" s="19" t="s">
        <v>149</v>
      </c>
      <c r="B2" s="365" t="str">
        <f>+IF('2 CONTEXTO E IDENTIFICACIÓN'!$B$2="","",'2 CONTEXTO E IDENTIFICACIÓN'!$B$2)</f>
        <v xml:space="preserve">GESTIÓN DE SERVICIOS PUBLICOS </v>
      </c>
      <c r="C2" s="365"/>
      <c r="D2" s="365"/>
      <c r="AD2" s="68"/>
      <c r="AE2" s="68"/>
      <c r="AF2" s="68"/>
      <c r="AG2" s="68"/>
      <c r="AH2" s="68"/>
    </row>
    <row r="3" spans="1:36" s="67" customFormat="1" ht="15.75" thickBot="1" x14ac:dyDescent="0.25">
      <c r="A3" s="217"/>
      <c r="B3" s="366"/>
      <c r="C3" s="366"/>
      <c r="D3" s="366"/>
      <c r="AD3" s="68"/>
      <c r="AE3" s="68"/>
      <c r="AF3" s="68"/>
      <c r="AG3" s="68"/>
      <c r="AH3" s="68"/>
    </row>
    <row r="4" spans="1:36" s="67" customFormat="1" ht="15.75" thickBot="1" x14ac:dyDescent="0.25">
      <c r="A4" s="217"/>
      <c r="B4" s="216"/>
      <c r="C4" s="216"/>
      <c r="D4" s="70"/>
      <c r="G4" s="454" t="s">
        <v>17</v>
      </c>
      <c r="H4" s="455"/>
      <c r="I4" s="455"/>
      <c r="J4" s="455"/>
      <c r="K4" s="455"/>
      <c r="L4" s="455"/>
      <c r="M4" s="456"/>
      <c r="O4" s="72"/>
      <c r="P4" s="72"/>
      <c r="Q4" s="73"/>
      <c r="R4" s="447" t="s">
        <v>81</v>
      </c>
      <c r="S4" s="447"/>
      <c r="T4" s="447"/>
      <c r="U4" s="447"/>
      <c r="V4" s="448"/>
      <c r="AD4" s="68"/>
      <c r="AE4" s="68"/>
      <c r="AF4" s="68"/>
      <c r="AG4" s="68"/>
      <c r="AH4" s="68"/>
    </row>
    <row r="5" spans="1:36" x14ac:dyDescent="0.25">
      <c r="A5" s="120"/>
      <c r="B5" s="291"/>
      <c r="C5" s="449" t="s">
        <v>83</v>
      </c>
      <c r="D5" s="449"/>
      <c r="E5" s="449"/>
      <c r="F5" s="74"/>
      <c r="G5" s="75"/>
      <c r="H5" s="76"/>
      <c r="I5" s="447" t="s">
        <v>81</v>
      </c>
      <c r="J5" s="447"/>
      <c r="K5" s="447"/>
      <c r="L5" s="447"/>
      <c r="M5" s="448"/>
      <c r="N5" s="74"/>
      <c r="O5" s="78"/>
      <c r="P5" s="78"/>
      <c r="R5" s="79">
        <v>0.2</v>
      </c>
      <c r="S5" s="79">
        <v>0.4</v>
      </c>
      <c r="T5" s="79">
        <v>0.6</v>
      </c>
      <c r="U5" s="79">
        <v>0.8</v>
      </c>
      <c r="V5" s="80">
        <v>1</v>
      </c>
      <c r="W5" s="81"/>
      <c r="X5" s="81"/>
      <c r="Y5" s="81"/>
      <c r="Z5" s="81"/>
      <c r="AA5" s="81"/>
      <c r="AB5" s="81"/>
      <c r="AC5" s="81"/>
    </row>
    <row r="6" spans="1:36" ht="38.25" x14ac:dyDescent="0.2">
      <c r="A6" s="83" t="s">
        <v>0</v>
      </c>
      <c r="B6" s="83" t="s">
        <v>1</v>
      </c>
      <c r="C6" s="83" t="s">
        <v>2</v>
      </c>
      <c r="D6" s="83" t="s">
        <v>4</v>
      </c>
      <c r="E6" s="83" t="s">
        <v>118</v>
      </c>
      <c r="F6" s="74"/>
      <c r="G6" s="78"/>
      <c r="H6" s="84"/>
      <c r="I6" s="85" t="s">
        <v>59</v>
      </c>
      <c r="J6" s="85" t="s">
        <v>7</v>
      </c>
      <c r="K6" s="85" t="s">
        <v>5</v>
      </c>
      <c r="L6" s="85" t="s">
        <v>6</v>
      </c>
      <c r="M6" s="86" t="s">
        <v>67</v>
      </c>
      <c r="N6" s="74"/>
      <c r="O6" s="78"/>
      <c r="P6" s="78"/>
      <c r="Q6" s="87"/>
      <c r="R6" s="88" t="s">
        <v>59</v>
      </c>
      <c r="S6" s="88" t="s">
        <v>7</v>
      </c>
      <c r="T6" s="88" t="s">
        <v>5</v>
      </c>
      <c r="U6" s="88" t="s">
        <v>6</v>
      </c>
      <c r="V6" s="89" t="s">
        <v>67</v>
      </c>
      <c r="Y6" s="81"/>
      <c r="Z6" s="81"/>
      <c r="AA6" s="90"/>
      <c r="AB6" s="90"/>
      <c r="AC6" s="90"/>
      <c r="AD6" s="90"/>
      <c r="AE6" s="90"/>
      <c r="AF6" s="90"/>
      <c r="AG6" s="90"/>
      <c r="AH6" s="90"/>
      <c r="AI6" s="90"/>
      <c r="AJ6" s="90"/>
    </row>
    <row r="7" spans="1:36" ht="91.5" customHeight="1" x14ac:dyDescent="0.2">
      <c r="A7" s="91" t="str">
        <f>'2 CONTEXTO E IDENTIFICACIÓN'!A6</f>
        <v>R1</v>
      </c>
      <c r="B7" s="92" t="str">
        <f>+'2 CONTEXTO E IDENTIFICACIÓN'!E6</f>
        <v>Posibilidad de pérdida Económica y Reputacional por contaminación ambiental a causa de las descargas de aguas residuales debido a la falta de seguimiento y control a los vertimientos realizados por usuarios diferentes al residencial que hacen uso del alcantarillado público y a la infraestructura de las redes de alcantarillado en condiciones inadecuadas.</v>
      </c>
      <c r="C7" s="93" t="str">
        <f>+'3 PROBABIL E IMPACTO INHERENTE'!F7</f>
        <v>Baja</v>
      </c>
      <c r="D7" s="93" t="str">
        <f>+'3 PROBABIL E IMPACTO INHERENTE'!N7</f>
        <v>Mayor</v>
      </c>
      <c r="E7" s="325" t="str">
        <f>+IF(C7=$Q$7,IF(D7=$R$6,$R$7,IF(D7=$S$6,$S$7,IF(D7=$T$6,$T$7,IF(D7=$U$6,$U$7,IF(D7=$V$6,$V$7))))),IF(C7=$Q$8,IF(D7=$R$6,$R$8,IF(D7=$S$6,$S$8,IF(D7=$T$6,$T$8,IF(D7=$U$6,$U$8,IF(D7=$V$6,$V$8))))),IF(C7=$Q$9,IF(D7=$R$6,$R$9,IF(D7=$S$6,$S$9,IF(D7=$T$6,$T$9,IF(D7=$U$6,$U$9,IF(D7=$V$6,$V$9))))),IF(C7=$Q$10,IF(D7=$R$6,$R$10,IF(D7=$S$6,$S$10,IF(D7=$T$6,$T$10,IF(D7=$U$6,$U$10,IF(D7=$V$6,$V$10))))),IF(C7=$Q$11,IF(D7=$R$6,$R$11,IF(D7=$S$6,$S$11,IF(D7=$T$6,$T$11,IF(D7=$U$6,$U$11,IF(D7=$V$6,$V$11))))),"")))))</f>
        <v>Alto</v>
      </c>
      <c r="F7" s="94"/>
      <c r="G7" s="452" t="s">
        <v>48</v>
      </c>
      <c r="H7" s="85" t="s">
        <v>56</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v>
      </c>
      <c r="N7" s="94"/>
      <c r="O7" s="450" t="s">
        <v>48</v>
      </c>
      <c r="P7" s="97">
        <v>1</v>
      </c>
      <c r="Q7" s="88" t="s">
        <v>56</v>
      </c>
      <c r="R7" s="95" t="s">
        <v>79</v>
      </c>
      <c r="S7" s="95" t="s">
        <v>79</v>
      </c>
      <c r="T7" s="95" t="s">
        <v>79</v>
      </c>
      <c r="U7" s="95" t="s">
        <v>79</v>
      </c>
      <c r="V7" s="96" t="s">
        <v>78</v>
      </c>
      <c r="Y7" s="81"/>
      <c r="Z7" s="81"/>
      <c r="AA7" s="90"/>
      <c r="AB7" s="90"/>
      <c r="AC7" s="90"/>
      <c r="AD7" s="98"/>
      <c r="AE7" s="98"/>
      <c r="AF7" s="98"/>
      <c r="AG7" s="98"/>
      <c r="AH7" s="98"/>
      <c r="AI7" s="90"/>
      <c r="AJ7" s="90"/>
    </row>
    <row r="8" spans="1:36" x14ac:dyDescent="0.2">
      <c r="A8" s="91"/>
      <c r="B8" s="92"/>
      <c r="C8" s="93" t="str">
        <f>+'3 PROBABIL E IMPACTO INHERENTE'!F8</f>
        <v/>
      </c>
      <c r="D8" s="93" t="str">
        <f>+'3 PROBABIL E IMPACTO INHERENTE'!N8</f>
        <v/>
      </c>
      <c r="E8" s="325" t="str">
        <f>+IF(C8=$Q$7,IF(D8=$R$6,$R$7,IF(D8=$S$6,$S$7,IF(D8=$T$6,$T$7,IF(D8=$U$6,$U$7,IF(D8=$V$6,$V$7))))),IF(C8=$Q$8,IF(D8=$R$6,$R$8,IF(D8=$S$6,$S$8,IF(D8=$T$6,$T$8,IF(D8=$U$6,$U$8,IF(D8=$V$6,$V$8))))),IF(C8=$Q$9,IF(D8=$R$6,$R$9,IF(D8=$S$6,$S$9,IF(D8=$T$6,$T$9,IF(D8=$U$6,$U$9,IF(D8=$V$6,$V$9))))),IF(C8=$Q$10,IF(D8=$R$6,$R$10,IF(D8=$S$6,$S$10,IF(D8=$T$6,$T$10,IF(D8=$U$6,$U$10,IF(D8=$V$6,$V$10))))),IF(C8=$Q$11,IF(D8=$R$6,$R$11,IF(D8=$S$6,$S$11,IF(D8=$T$6,$T$11,IF(D8=$U$6,$U$11,IF(D8=$V$6,$V$11))))),"")))))</f>
        <v/>
      </c>
      <c r="F8" s="94"/>
      <c r="G8" s="452"/>
      <c r="H8" s="85" t="s">
        <v>55</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v>
      </c>
      <c r="N8" s="94"/>
      <c r="O8" s="450"/>
      <c r="P8" s="97">
        <v>0.8</v>
      </c>
      <c r="Q8" s="88" t="s">
        <v>55</v>
      </c>
      <c r="R8" s="99" t="s">
        <v>5</v>
      </c>
      <c r="S8" s="99" t="s">
        <v>5</v>
      </c>
      <c r="T8" s="95" t="s">
        <v>79</v>
      </c>
      <c r="U8" s="95" t="s">
        <v>79</v>
      </c>
      <c r="V8" s="96" t="s">
        <v>78</v>
      </c>
      <c r="Y8" s="81"/>
      <c r="Z8" s="81"/>
      <c r="AA8" s="90"/>
      <c r="AB8" s="100"/>
      <c r="AC8" s="101"/>
      <c r="AD8" s="98"/>
      <c r="AE8" s="98"/>
      <c r="AF8" s="98"/>
      <c r="AG8" s="98"/>
      <c r="AH8" s="98"/>
      <c r="AI8" s="90"/>
      <c r="AJ8" s="90"/>
    </row>
    <row r="9" spans="1:36" ht="147" customHeight="1" x14ac:dyDescent="0.2">
      <c r="A9" s="91" t="str">
        <f>'2 CONTEXTO E IDENTIFICACIÓN'!A7</f>
        <v>R2</v>
      </c>
      <c r="B9" s="92" t="str">
        <f>+'2 CONTEXTO E IDENTIFICACIÓN'!E7</f>
        <v>Posibilidad de pérdida Económica y Reputacional por la atención inoportuna de las solicitudes de reparación de alcantarillado debido a la falta de seguimiento a las ordenes de trabajo generadas, falta de personal operativo para los grupos de trabajo y falta de asignación de recursos o de disponibilidad de materiales.</v>
      </c>
      <c r="C9" s="93" t="str">
        <f>+'3 PROBABIL E IMPACTO INHERENTE'!F9</f>
        <v>Media</v>
      </c>
      <c r="D9" s="93" t="str">
        <f>+'3 PROBABIL E IMPACTO INHERENTE'!N9</f>
        <v>Mayor</v>
      </c>
      <c r="E9" s="325" t="str">
        <f>+IF(C9=$Q$7,IF(D9=$R$6,$R$7,IF(D9=$S$6,$S$7,IF(D9=$T$6,$T$7,IF(D9=$U$6,$U$7,IF(D9=$V$6,$V$7))))),IF(C9=$Q$8,IF(D9=$R$6,$R$8,IF(D9=$S$6,$S$8,IF(D9=$T$6,$T$8,IF(D9=$U$6,$U$8,IF(D9=$V$6,$V$8))))),IF(C9=$Q$9,IF(D9=$R$6,$R$9,IF(D9=$S$6,$S$9,IF(D9=$T$6,$T$9,IF(D9=$U$6,$U$9,IF(D9=$V$6,$V$9))))),IF(C9=$Q$10,IF(D9=$R$6,$R$10,IF(D9=$S$6,$S$10,IF(D9=$T$6,$T$10,IF(D9=$U$6,$U$10,IF(D9=$V$6,$V$10))))),IF(C9=$Q$11,IF(D9=$R$6,$R$11,IF(D9=$S$6,$S$11,IF(D9=$T$6,$T$11,IF(D9=$U$6,$U$11,IF(D9=$V$6,$V$11))))),"")))))</f>
        <v>Alto</v>
      </c>
      <c r="F9" s="94"/>
      <c r="G9" s="452"/>
      <c r="H9" s="85" t="s">
        <v>53</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        R7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R2  R4 R5 R6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                   </v>
      </c>
      <c r="N9" s="94"/>
      <c r="O9" s="450"/>
      <c r="P9" s="97">
        <v>0.6</v>
      </c>
      <c r="Q9" s="88" t="s">
        <v>53</v>
      </c>
      <c r="R9" s="99" t="s">
        <v>5</v>
      </c>
      <c r="S9" s="99" t="s">
        <v>5</v>
      </c>
      <c r="T9" s="99" t="s">
        <v>5</v>
      </c>
      <c r="U9" s="95" t="s">
        <v>79</v>
      </c>
      <c r="V9" s="96" t="s">
        <v>78</v>
      </c>
      <c r="Y9" s="81"/>
      <c r="Z9" s="81"/>
      <c r="AA9" s="90"/>
      <c r="AB9" s="100"/>
      <c r="AC9" s="101"/>
      <c r="AD9" s="98"/>
      <c r="AE9" s="98"/>
      <c r="AF9" s="98"/>
      <c r="AG9" s="98"/>
      <c r="AH9" s="102"/>
      <c r="AI9" s="90"/>
      <c r="AJ9" s="90"/>
    </row>
    <row r="10" spans="1:36" ht="129.75" customHeight="1" x14ac:dyDescent="0.2">
      <c r="A10" s="91" t="str">
        <f>'2 CONTEXTO E IDENTIFICACIÓN'!A8</f>
        <v>R3</v>
      </c>
      <c r="B10" s="92" t="str">
        <f>+'2 CONTEXTO E IDENTIFICACIÓN'!E8</f>
        <v>Posibilidad de pérdida Económica y Reputacional por la falta de atención a las afectaciones generadas por actividades de alcantarillado debido a que la parametrización del software permite el cierre de ordenes de trabajo con actividades pendientes.</v>
      </c>
      <c r="C10" s="93" t="str">
        <f>+'3 PROBABIL E IMPACTO INHERENTE'!F10</f>
        <v>Baja</v>
      </c>
      <c r="D10" s="93" t="str">
        <f>+'3 PROBABIL E IMPACTO INHERENTE'!N10</f>
        <v>Mayor</v>
      </c>
      <c r="E10" s="325"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Alto</v>
      </c>
      <c r="F10" s="94"/>
      <c r="G10" s="452"/>
      <c r="H10" s="85" t="s">
        <v>51</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R1   R3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v>
      </c>
      <c r="N10" s="94"/>
      <c r="O10" s="450"/>
      <c r="P10" s="97">
        <v>0.4</v>
      </c>
      <c r="Q10" s="88" t="s">
        <v>51</v>
      </c>
      <c r="R10" s="103" t="s">
        <v>80</v>
      </c>
      <c r="S10" s="99" t="s">
        <v>5</v>
      </c>
      <c r="T10" s="99" t="s">
        <v>5</v>
      </c>
      <c r="U10" s="95" t="s">
        <v>79</v>
      </c>
      <c r="V10" s="96" t="s">
        <v>78</v>
      </c>
      <c r="Y10" s="81"/>
      <c r="Z10" s="81"/>
      <c r="AA10" s="90"/>
      <c r="AB10" s="100"/>
      <c r="AC10" s="101"/>
      <c r="AD10" s="98"/>
      <c r="AE10" s="98"/>
      <c r="AF10" s="98"/>
      <c r="AG10" s="102"/>
      <c r="AH10" s="98"/>
      <c r="AI10" s="90"/>
      <c r="AJ10" s="90"/>
    </row>
    <row r="11" spans="1:36" ht="102.75" thickBot="1" x14ac:dyDescent="0.25">
      <c r="A11" s="91" t="str">
        <f>'2 CONTEXTO E IDENTIFICACIÓN'!A9</f>
        <v>R4</v>
      </c>
      <c r="B11" s="92" t="str">
        <f>+'2 CONTEXTO E IDENTIFICACIÓN'!E9</f>
        <v>Posibilidad de pérdida Económica y Reputacional Por la captacion del caudal de las plantas de tratamiento  de los municipios  por encima del lt/s consecionados  Debido a la falta de medicion en el sistema de las bocatomas</v>
      </c>
      <c r="C11" s="93" t="str">
        <f>+'3 PROBABIL E IMPACTO INHERENTE'!F11</f>
        <v>Media</v>
      </c>
      <c r="D11" s="93" t="str">
        <f>+'3 PROBABIL E IMPACTO INHERENTE'!N11</f>
        <v>Mayor</v>
      </c>
      <c r="E11" s="92" t="str">
        <f t="shared" si="0"/>
        <v>Alto</v>
      </c>
      <c r="F11" s="94"/>
      <c r="G11" s="453"/>
      <c r="H11" s="104" t="s">
        <v>49</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v>
      </c>
      <c r="N11" s="94"/>
      <c r="O11" s="451"/>
      <c r="P11" s="109">
        <v>0.2</v>
      </c>
      <c r="Q11" s="110" t="s">
        <v>49</v>
      </c>
      <c r="R11" s="105" t="s">
        <v>80</v>
      </c>
      <c r="S11" s="105" t="s">
        <v>80</v>
      </c>
      <c r="T11" s="106" t="s">
        <v>5</v>
      </c>
      <c r="U11" s="107" t="s">
        <v>79</v>
      </c>
      <c r="V11" s="108" t="s">
        <v>78</v>
      </c>
      <c r="Y11" s="81"/>
      <c r="Z11" s="81"/>
      <c r="AA11" s="90"/>
      <c r="AB11" s="100"/>
      <c r="AC11" s="101"/>
      <c r="AD11" s="98"/>
      <c r="AE11" s="98"/>
      <c r="AF11" s="98"/>
      <c r="AG11" s="111"/>
      <c r="AH11" s="98"/>
      <c r="AI11" s="90"/>
      <c r="AJ11" s="90"/>
    </row>
    <row r="12" spans="1:36" ht="127.5" x14ac:dyDescent="0.2">
      <c r="A12" s="91" t="str">
        <f>'2 CONTEXTO E IDENTIFICACIÓN'!A10</f>
        <v>R5</v>
      </c>
      <c r="B12" s="92" t="str">
        <f>+'2 CONTEXTO E IDENTIFICACIÓN'!E10</f>
        <v>Posibilidad de pérdida Económica y Reputacional por condiciones de calidad de agua cruda que no permite tratabilidad y afectaciones de tipo climático debido a crecientes que generan arrastre de solidos y elevacion en los niveles de turbierdad en agua cruda</v>
      </c>
      <c r="C12" s="93" t="str">
        <f>+'3 PROBABIL E IMPACTO INHERENTE'!F12</f>
        <v>Media</v>
      </c>
      <c r="D12" s="93" t="str">
        <f>+'3 PROBABIL E IMPACTO INHERENTE'!N12</f>
        <v>Mayor</v>
      </c>
      <c r="E12" s="92" t="str">
        <f t="shared" si="0"/>
        <v>Alto</v>
      </c>
      <c r="F12" s="94"/>
      <c r="G12" s="94"/>
      <c r="H12" s="94"/>
      <c r="I12" s="94"/>
      <c r="J12" s="94"/>
      <c r="K12" s="94"/>
      <c r="L12" s="94"/>
      <c r="M12" s="94"/>
      <c r="N12" s="94"/>
      <c r="Y12" s="81"/>
      <c r="Z12" s="81"/>
      <c r="AA12" s="90"/>
      <c r="AB12" s="100"/>
      <c r="AC12" s="101"/>
      <c r="AD12" s="98"/>
      <c r="AE12" s="98"/>
      <c r="AF12" s="98"/>
      <c r="AG12" s="98"/>
      <c r="AH12" s="98"/>
      <c r="AI12" s="90"/>
      <c r="AJ12" s="90"/>
    </row>
    <row r="13" spans="1:36" ht="140.25" x14ac:dyDescent="0.2">
      <c r="A13" s="91" t="str">
        <f>'2 CONTEXTO E IDENTIFICACIÓN'!A11</f>
        <v>R6</v>
      </c>
      <c r="B13" s="92" t="str">
        <f>+'2 CONTEXTO E IDENTIFICACIÓN'!E11</f>
        <v>Posibilidad de pérdida Económica y Reputacional por el aumento en el índice de agua no contabilizada por pérdidas técnicas  debido a la infraestructura de produccion ,almacenameinto y distribucion en condiciones inadecuadas,  y la reparación inoportuna de fugas y daños en las redes de acueducto.</v>
      </c>
      <c r="C13" s="93" t="str">
        <f>+'3 PROBABIL E IMPACTO INHERENTE'!F13</f>
        <v>Media</v>
      </c>
      <c r="D13" s="93" t="str">
        <f>+'3 PROBABIL E IMPACTO INHERENTE'!N13</f>
        <v>Mayor</v>
      </c>
      <c r="E13" s="92" t="str">
        <f t="shared" si="0"/>
        <v>Alto</v>
      </c>
      <c r="F13" s="94"/>
      <c r="G13" s="94"/>
      <c r="H13" s="94"/>
      <c r="I13" s="94"/>
      <c r="J13" s="94"/>
      <c r="K13" s="94"/>
      <c r="L13" s="94"/>
      <c r="M13" s="94"/>
      <c r="N13" s="94"/>
      <c r="R13" s="83" t="s">
        <v>82</v>
      </c>
      <c r="T13" s="81"/>
      <c r="U13" s="81"/>
      <c r="V13" s="81"/>
      <c r="W13" s="81"/>
      <c r="X13" s="81"/>
      <c r="Y13" s="81"/>
      <c r="Z13" s="81"/>
      <c r="AA13" s="90"/>
      <c r="AB13" s="100"/>
      <c r="AC13" s="90"/>
      <c r="AD13" s="101"/>
      <c r="AE13" s="101"/>
      <c r="AF13" s="101"/>
      <c r="AG13" s="101"/>
      <c r="AH13" s="101"/>
      <c r="AI13" s="90"/>
      <c r="AJ13" s="90"/>
    </row>
    <row r="14" spans="1:36" x14ac:dyDescent="0.2">
      <c r="A14" s="91"/>
      <c r="B14" s="92"/>
      <c r="C14" s="93" t="str">
        <f>+'3 PROBABIL E IMPACTO INHERENTE'!F14</f>
        <v/>
      </c>
      <c r="D14" s="93" t="str">
        <f>+'3 PROBABIL E IMPACTO INHERENTE'!N14</f>
        <v/>
      </c>
      <c r="E14" s="92" t="str">
        <f t="shared" si="0"/>
        <v/>
      </c>
      <c r="F14" s="94"/>
      <c r="G14" s="94"/>
      <c r="H14" s="94"/>
      <c r="I14" s="94"/>
      <c r="J14" s="94"/>
      <c r="K14" s="94"/>
      <c r="L14" s="94"/>
      <c r="M14" s="94"/>
      <c r="N14" s="94"/>
      <c r="R14" s="112" t="s">
        <v>78</v>
      </c>
      <c r="T14" s="81"/>
      <c r="U14" s="81"/>
      <c r="V14" s="81"/>
      <c r="W14" s="81"/>
      <c r="X14" s="81"/>
      <c r="Y14" s="81"/>
      <c r="Z14" s="81"/>
      <c r="AA14" s="90"/>
      <c r="AB14" s="90"/>
      <c r="AC14" s="90"/>
      <c r="AD14" s="98"/>
      <c r="AE14" s="98"/>
      <c r="AF14" s="98"/>
      <c r="AG14" s="98"/>
      <c r="AH14" s="98"/>
      <c r="AI14" s="90"/>
      <c r="AJ14" s="90"/>
    </row>
    <row r="15" spans="1:36" ht="140.25" x14ac:dyDescent="0.2">
      <c r="A15" s="91" t="str">
        <f>'2 CONTEXTO E IDENTIFICACIÓN'!A12</f>
        <v>R7</v>
      </c>
      <c r="B15" s="92" t="str">
        <f>+'2 CONTEXTO E IDENTIFICACIÓN'!E12</f>
        <v>Posibilidad de pérdida Económica y Reputacional por la atención inoportuna de las solicitudes de reparación de acueducto debido a la falta de seguimiento a las ordenes de trabajo generadas, falta de personal operativo para los grupos de trabajo y falta de asignación de recursos o de disponibilidad de materiales.</v>
      </c>
      <c r="C15" s="93" t="str">
        <f>+'3 PROBABIL E IMPACTO INHERENTE'!F15</f>
        <v>Media</v>
      </c>
      <c r="D15" s="93" t="str">
        <f>+'3 PROBABIL E IMPACTO INHERENTE'!N15</f>
        <v>Moderado</v>
      </c>
      <c r="E15" s="92" t="str">
        <f t="shared" si="0"/>
        <v>Moderado</v>
      </c>
      <c r="F15" s="94"/>
      <c r="G15" s="94"/>
      <c r="H15" s="94"/>
      <c r="I15" s="94"/>
      <c r="J15" s="94"/>
      <c r="K15" s="94"/>
      <c r="L15" s="94"/>
      <c r="M15" s="94"/>
      <c r="N15" s="94"/>
      <c r="R15" s="95" t="s">
        <v>79</v>
      </c>
      <c r="S15" s="81"/>
      <c r="T15" s="81"/>
      <c r="U15" s="81"/>
      <c r="V15" s="81"/>
      <c r="W15" s="81"/>
      <c r="X15" s="81"/>
      <c r="Y15" s="81"/>
      <c r="Z15" s="81"/>
      <c r="AA15" s="90"/>
      <c r="AB15" s="90"/>
      <c r="AC15" s="90"/>
      <c r="AD15" s="98"/>
      <c r="AE15" s="98"/>
      <c r="AF15" s="98"/>
      <c r="AG15" s="98"/>
      <c r="AH15" s="98"/>
      <c r="AI15" s="90"/>
      <c r="AJ15" s="90"/>
    </row>
    <row r="16" spans="1:36" ht="30.6" customHeight="1" x14ac:dyDescent="0.2">
      <c r="A16" s="91" t="str">
        <f>'2 CONTEXTO E IDENTIFICACIÓN'!A13</f>
        <v>R10</v>
      </c>
      <c r="B16" s="92" t="str">
        <f>+'2 CONTEXTO E IDENTIFICACIÓN'!E13</f>
        <v xml:space="preserve">  </v>
      </c>
      <c r="C16" s="93" t="str">
        <f>+'3 PROBABIL E IMPACTO INHERENTE'!F16</f>
        <v/>
      </c>
      <c r="D16" s="93" t="str">
        <f>+'3 PROBABIL E IMPACTO INHERENTE'!N16</f>
        <v/>
      </c>
      <c r="E16" s="92" t="str">
        <f t="shared" si="0"/>
        <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x14ac:dyDescent="0.2">
      <c r="A17" s="91" t="str">
        <f>'2 CONTEXTO E IDENTIFICACIÓN'!A14</f>
        <v>R11</v>
      </c>
      <c r="B17" s="92" t="str">
        <f>+'2 CONTEXTO E IDENTIFICACIÓN'!E14</f>
        <v xml:space="preserve">  </v>
      </c>
      <c r="C17" s="93" t="str">
        <f>+'3 PROBABIL E IMPACTO INHERENTE'!F17</f>
        <v/>
      </c>
      <c r="D17" s="93" t="str">
        <f>+'3 PROBABIL E IMPACTO INHERENTE'!N17</f>
        <v/>
      </c>
      <c r="E17" s="92" t="str">
        <f t="shared" si="0"/>
        <v/>
      </c>
      <c r="F17" s="94"/>
      <c r="G17" s="94"/>
      <c r="H17" s="94"/>
      <c r="I17" s="94"/>
      <c r="J17" s="94"/>
      <c r="K17" s="94"/>
      <c r="L17" s="94"/>
      <c r="M17" s="94"/>
      <c r="N17" s="94"/>
      <c r="Q17" s="113"/>
      <c r="R17" s="103" t="s">
        <v>80</v>
      </c>
      <c r="Y17" s="113"/>
      <c r="Z17" s="113"/>
      <c r="AA17" s="90"/>
      <c r="AB17" s="90"/>
      <c r="AC17" s="90"/>
      <c r="AD17" s="98"/>
      <c r="AE17" s="98"/>
      <c r="AF17" s="98"/>
      <c r="AG17" s="98"/>
      <c r="AH17" s="98"/>
      <c r="AI17" s="90"/>
      <c r="AJ17" s="90"/>
    </row>
    <row r="18" spans="1:36" ht="30.6" customHeight="1" x14ac:dyDescent="0.2">
      <c r="A18" s="91" t="str">
        <f>'2 CONTEXTO E IDENTIFICACIÓN'!A15</f>
        <v>R12</v>
      </c>
      <c r="B18" s="92" t="str">
        <f>+'2 CONTEXTO E IDENTIFICACIÓN'!E15</f>
        <v xml:space="preserve">  </v>
      </c>
      <c r="C18" s="93" t="str">
        <f>+'3 PROBABIL E IMPACTO INHERENTE'!F18</f>
        <v/>
      </c>
      <c r="D18" s="93" t="str">
        <f>+'3 PROBABIL E IMPACTO INHERENTE'!N18</f>
        <v/>
      </c>
      <c r="E18" s="92" t="str">
        <f t="shared" si="0"/>
        <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x14ac:dyDescent="0.2">
      <c r="A19" s="91" t="str">
        <f>'2 CONTEXTO E IDENTIFICACIÓN'!A16</f>
        <v>R13</v>
      </c>
      <c r="B19" s="92" t="str">
        <f>+'2 CONTEXTO E IDENTIFICACIÓN'!E16</f>
        <v xml:space="preserve">  </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x14ac:dyDescent="0.2">
      <c r="A20" s="91" t="str">
        <f>'2 CONTEXTO E IDENTIFICACIÓN'!A17</f>
        <v>R14</v>
      </c>
      <c r="B20" s="92" t="str">
        <f>+'2 CONTEXTO E IDENTIFICACIÓN'!E17</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x14ac:dyDescent="0.2">
      <c r="A21" s="91" t="str">
        <f>'2 CONTEXTO E IDENTIFICACIÓN'!A18</f>
        <v>R15</v>
      </c>
      <c r="B21" s="92" t="str">
        <f>+'2 CONTEXTO E IDENTIFICACIÓN'!E18</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x14ac:dyDescent="0.2">
      <c r="A22" s="91" t="str">
        <f>'2 CONTEXTO E IDENTIFICACIÓN'!A19</f>
        <v>R16</v>
      </c>
      <c r="B22" s="92" t="str">
        <f>+'2 CONTEXTO E IDENTIFICACIÓN'!E19</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x14ac:dyDescent="0.25">
      <c r="A23" s="91" t="str">
        <f>'2 CONTEXTO E IDENTIFICACIÓN'!A20</f>
        <v>R17</v>
      </c>
      <c r="B23" s="92" t="str">
        <f>+'2 CONTEXTO E IDENTIFICACIÓN'!E20</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x14ac:dyDescent="0.25">
      <c r="A24" s="91" t="str">
        <f>'2 CONTEXTO E IDENTIFICACIÓN'!A21</f>
        <v>R18</v>
      </c>
      <c r="B24" s="92" t="str">
        <f>+'2 CONTEXTO E IDENTIFICACIÓN'!E21</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x14ac:dyDescent="0.25">
      <c r="A25" s="91" t="str">
        <f>'2 CONTEXTO E IDENTIFICACIÓN'!A22</f>
        <v>R19</v>
      </c>
      <c r="B25" s="92" t="str">
        <f>+'2 CONTEXTO E IDENTIFICACIÓN'!E22</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x14ac:dyDescent="0.25">
      <c r="A26" s="91" t="str">
        <f>'2 CONTEXTO E IDENTIFICACIÓN'!A23</f>
        <v>R20</v>
      </c>
      <c r="B26" s="92" t="str">
        <f>+'2 CONTEXTO E IDENTIFICACIÓN'!E23</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x14ac:dyDescent="0.25">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x14ac:dyDescent="0.25">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x14ac:dyDescent="0.25">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x14ac:dyDescent="0.25">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x14ac:dyDescent="0.25">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x14ac:dyDescent="0.25">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x14ac:dyDescent="0.25">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49" priority="6" operator="equal">
      <formula>$Q$11</formula>
    </cfRule>
    <cfRule type="cellIs" dxfId="148" priority="7" operator="equal">
      <formula>$Q$10</formula>
    </cfRule>
    <cfRule type="cellIs" dxfId="147" priority="8" operator="equal">
      <formula>$Q$9</formula>
    </cfRule>
    <cfRule type="cellIs" dxfId="146" priority="9" operator="equal">
      <formula>$Q$8</formula>
    </cfRule>
    <cfRule type="cellIs" dxfId="145" priority="10" operator="equal">
      <formula>$Q$7</formula>
    </cfRule>
  </conditionalFormatting>
  <conditionalFormatting sqref="D7:D26">
    <cfRule type="cellIs" dxfId="144" priority="1" operator="equal">
      <formula>$R$6</formula>
    </cfRule>
    <cfRule type="cellIs" dxfId="143" priority="2" operator="equal">
      <formula>$S$6</formula>
    </cfRule>
    <cfRule type="cellIs" dxfId="142" priority="3" operator="equal">
      <formula>$T$6</formula>
    </cfRule>
    <cfRule type="cellIs" dxfId="141" priority="4" operator="equal">
      <formula>$U$6</formula>
    </cfRule>
    <cfRule type="cellIs" dxfId="140" priority="5" operator="equal">
      <formula>$V$6</formula>
    </cfRule>
  </conditionalFormatting>
  <conditionalFormatting sqref="E7:E26">
    <cfRule type="cellIs" dxfId="139" priority="102" operator="equal">
      <formula>$R$14</formula>
    </cfRule>
    <cfRule type="cellIs" dxfId="138" priority="103" operator="equal">
      <formula>$R$15</formula>
    </cfRule>
    <cfRule type="cellIs" dxfId="137" priority="104" operator="equal">
      <formula>$R$16</formula>
    </cfRule>
    <cfRule type="cellIs" dxfId="136"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77"/>
  <sheetViews>
    <sheetView showGridLines="0" view="pageBreakPreview" topLeftCell="H23" zoomScale="78" zoomScaleNormal="10" zoomScaleSheetLayoutView="78" workbookViewId="0">
      <selection activeCell="Q40" sqref="Q40"/>
    </sheetView>
  </sheetViews>
  <sheetFormatPr baseColWidth="10" defaultColWidth="11.42578125" defaultRowHeight="14.25" x14ac:dyDescent="0.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8" width="21.85546875" style="50" customWidth="1"/>
    <col min="9" max="9" width="25.85546875" style="50" customWidth="1"/>
    <col min="10" max="10" width="15.42578125" style="50" customWidth="1"/>
    <col min="11" max="11" width="12.140625" style="60" customWidth="1"/>
    <col min="12" max="12" width="16.85546875" style="60" customWidth="1"/>
    <col min="13" max="13" width="14.5703125" style="50" customWidth="1"/>
    <col min="14" max="14" width="12.140625" style="60" customWidth="1"/>
    <col min="15" max="15" width="14.140625" style="60" customWidth="1"/>
    <col min="16" max="16" width="12.140625" style="60" customWidth="1"/>
    <col min="17" max="17" width="13" style="60" customWidth="1"/>
    <col min="18" max="18" width="13.5703125" style="288" customWidth="1"/>
    <col min="19" max="19" width="13.42578125" style="288" customWidth="1"/>
    <col min="20" max="20" width="12.7109375" style="288" customWidth="1"/>
    <col min="21" max="21" width="14.42578125" style="146" customWidth="1"/>
    <col min="22" max="22" width="14.5703125" style="146"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x14ac:dyDescent="0.25">
      <c r="E1" s="52"/>
      <c r="G1" s="52"/>
      <c r="H1" s="52"/>
      <c r="I1" s="52"/>
      <c r="J1" s="52"/>
      <c r="K1" s="53"/>
      <c r="L1" s="53"/>
      <c r="M1" s="52"/>
      <c r="N1" s="53"/>
      <c r="O1" s="53"/>
      <c r="P1" s="53"/>
      <c r="Q1" s="53"/>
      <c r="R1" s="284"/>
      <c r="S1" s="284"/>
      <c r="T1" s="284"/>
      <c r="U1" s="146"/>
      <c r="V1" s="146"/>
      <c r="W1" s="50"/>
      <c r="X1" s="9"/>
      <c r="Y1" s="9"/>
      <c r="Z1" s="9"/>
    </row>
    <row r="2" spans="1:26" s="55" customFormat="1" ht="16.5" customHeight="1" x14ac:dyDescent="0.25">
      <c r="A2" s="19" t="s">
        <v>149</v>
      </c>
      <c r="B2" s="365" t="str">
        <f>+IF('2 CONTEXTO E IDENTIFICACIÓN'!$B$2="","",'2 CONTEXTO E IDENTIFICACIÓN'!$B$2)</f>
        <v xml:space="preserve">GESTIÓN DE SERVICIOS PUBLICOS </v>
      </c>
      <c r="C2" s="365"/>
      <c r="D2" s="365"/>
      <c r="E2" s="54" t="s">
        <v>39</v>
      </c>
      <c r="F2" s="364" t="s">
        <v>40</v>
      </c>
      <c r="G2" s="54"/>
      <c r="H2" s="54"/>
      <c r="I2" s="54"/>
      <c r="R2" s="465" t="s">
        <v>191</v>
      </c>
      <c r="S2" s="465" t="s">
        <v>192</v>
      </c>
      <c r="T2" s="465" t="s">
        <v>193</v>
      </c>
      <c r="U2" s="146"/>
      <c r="V2" s="146"/>
      <c r="W2" s="50"/>
      <c r="X2" s="434" t="s">
        <v>260</v>
      </c>
      <c r="Y2" s="435"/>
      <c r="Z2" s="436"/>
    </row>
    <row r="3" spans="1:26" s="55" customFormat="1" ht="16.5" customHeight="1" thickBot="1" x14ac:dyDescent="0.3">
      <c r="A3" s="217"/>
      <c r="B3" s="324"/>
      <c r="C3" s="216"/>
      <c r="D3" s="146"/>
      <c r="E3" s="54"/>
      <c r="F3" s="322"/>
      <c r="G3" s="54"/>
      <c r="H3" s="54"/>
      <c r="I3" s="54"/>
      <c r="J3" s="472" t="s">
        <v>104</v>
      </c>
      <c r="K3" s="472"/>
      <c r="L3" s="472"/>
      <c r="M3" s="472"/>
      <c r="N3" s="472"/>
      <c r="O3" s="472"/>
      <c r="P3" s="472"/>
      <c r="Q3" s="472"/>
      <c r="R3" s="466"/>
      <c r="S3" s="466"/>
      <c r="T3" s="466"/>
      <c r="U3" s="146"/>
      <c r="V3" s="146"/>
      <c r="W3" s="50"/>
      <c r="X3" s="26" t="s">
        <v>46</v>
      </c>
      <c r="Y3" s="27" t="s">
        <v>261</v>
      </c>
      <c r="Z3" s="28" t="s">
        <v>262</v>
      </c>
    </row>
    <row r="4" spans="1:26" ht="29.25" customHeight="1" x14ac:dyDescent="0.25">
      <c r="A4" s="469" t="s">
        <v>187</v>
      </c>
      <c r="B4" s="457" t="s">
        <v>186</v>
      </c>
      <c r="C4" s="457" t="s">
        <v>109</v>
      </c>
      <c r="D4" s="457" t="s">
        <v>110</v>
      </c>
      <c r="E4" s="473" t="s">
        <v>106</v>
      </c>
      <c r="F4" s="479" t="s">
        <v>165</v>
      </c>
      <c r="G4" s="480"/>
      <c r="H4" s="473"/>
      <c r="I4" s="298"/>
      <c r="J4" s="475" t="s">
        <v>99</v>
      </c>
      <c r="K4" s="476"/>
      <c r="L4" s="476"/>
      <c r="M4" s="476"/>
      <c r="N4" s="477"/>
      <c r="O4" s="475" t="s">
        <v>103</v>
      </c>
      <c r="P4" s="476"/>
      <c r="Q4" s="478"/>
      <c r="R4" s="467"/>
      <c r="S4" s="468"/>
      <c r="T4" s="468"/>
      <c r="X4" s="31" t="s">
        <v>49</v>
      </c>
      <c r="Y4" s="34">
        <v>0.01</v>
      </c>
      <c r="Z4" s="33">
        <v>0.2</v>
      </c>
    </row>
    <row r="5" spans="1:26" s="47" customFormat="1" ht="57.75" thickBot="1" x14ac:dyDescent="0.3">
      <c r="A5" s="470"/>
      <c r="B5" s="471"/>
      <c r="C5" s="458"/>
      <c r="D5" s="458"/>
      <c r="E5" s="474"/>
      <c r="F5" s="299" t="s">
        <v>263</v>
      </c>
      <c r="G5" s="299" t="s">
        <v>166</v>
      </c>
      <c r="H5" s="299" t="s">
        <v>167</v>
      </c>
      <c r="I5" s="299" t="s">
        <v>257</v>
      </c>
      <c r="J5" s="300" t="s">
        <v>84</v>
      </c>
      <c r="K5" s="301" t="s">
        <v>85</v>
      </c>
      <c r="L5" s="301" t="s">
        <v>108</v>
      </c>
      <c r="M5" s="299" t="s">
        <v>86</v>
      </c>
      <c r="N5" s="301" t="s">
        <v>87</v>
      </c>
      <c r="O5" s="301" t="s">
        <v>91</v>
      </c>
      <c r="P5" s="301" t="s">
        <v>3</v>
      </c>
      <c r="Q5" s="302" t="s">
        <v>96</v>
      </c>
      <c r="R5" s="297" t="s">
        <v>107</v>
      </c>
      <c r="S5" s="56" t="s">
        <v>111</v>
      </c>
      <c r="T5" s="281" t="s">
        <v>10</v>
      </c>
      <c r="U5" s="56" t="s">
        <v>258</v>
      </c>
      <c r="V5" s="56" t="s">
        <v>259</v>
      </c>
      <c r="X5" s="36" t="s">
        <v>51</v>
      </c>
      <c r="Y5" s="34">
        <v>0.21</v>
      </c>
      <c r="Z5" s="33">
        <v>0.4</v>
      </c>
    </row>
    <row r="6" spans="1:26" ht="107.25" customHeight="1" x14ac:dyDescent="0.25">
      <c r="A6" s="481" t="str">
        <f>'2 CONTEXTO E IDENTIFICACIÓN'!A6</f>
        <v>R1</v>
      </c>
      <c r="B6" s="484" t="str">
        <f>+'2 CONTEXTO E IDENTIFICACIÓN'!E6</f>
        <v>Posibilidad de pérdida Económica y Reputacional por contaminación ambiental a causa de las descargas de aguas residuales debido a la falta de seguimiento y control a los vertimientos realizados por usuarios diferentes al residencial que hacen uso del alcantarillado público y a la infraestructura de las redes de alcantarillado en condiciones inadecuadas.</v>
      </c>
      <c r="C6" s="459">
        <f>+'3 PROBABIL E IMPACTO INHERENTE'!E7</f>
        <v>0.4</v>
      </c>
      <c r="D6" s="462">
        <f>+'3 PROBABIL E IMPACTO INHERENTE'!M7</f>
        <v>0.8</v>
      </c>
      <c r="E6" s="61">
        <v>1</v>
      </c>
      <c r="F6" s="318" t="s">
        <v>286</v>
      </c>
      <c r="G6" s="318" t="s">
        <v>279</v>
      </c>
      <c r="H6" s="318" t="s">
        <v>271</v>
      </c>
      <c r="I6" s="319" t="str">
        <f t="shared" ref="I6:I29" si="0">+CONCATENATE(F6," ",G6," ",H6)</f>
        <v>el Subgerente Técnico que es el encargado de  asignar las prioridades de intervención del taponamiento o fuga identificada cuando se requiera</v>
      </c>
      <c r="J6" s="5" t="s">
        <v>102</v>
      </c>
      <c r="K6" s="57">
        <f>+IF(J6='11 FORMULAS'!$E$4,'11 FORMULAS'!$F$4,IF(J6='11 FORMULAS'!$E$5,'11 FORMULAS'!$F$5,IF(J6='11 FORMULAS'!$E$6,'11 FORMULAS'!$F$6,"")))</f>
        <v>0.1</v>
      </c>
      <c r="L6" s="57" t="str">
        <f>+IF(OR(J6='11 FORMULAS'!$O$4,J6='11 FORMULAS'!$O$5),'11 FORMULAS'!$P$5,IF(J6='11 FORMULAS'!$O$6,'11 FORMULAS'!$P$6,""))</f>
        <v>Impacto</v>
      </c>
      <c r="M6" s="5" t="s">
        <v>89</v>
      </c>
      <c r="N6" s="57">
        <f>+IF(M6='11 FORMULAS'!$H$4,'11 FORMULAS'!$I$4,IF(M6='11 FORMULAS'!$H$5,'11 FORMULAS'!$I$5,""))</f>
        <v>0.15</v>
      </c>
      <c r="O6" s="6" t="s">
        <v>92</v>
      </c>
      <c r="P6" s="6" t="s">
        <v>94</v>
      </c>
      <c r="Q6" s="6" t="s">
        <v>97</v>
      </c>
      <c r="R6" s="285">
        <f>+IFERROR(K6+N6,"")</f>
        <v>0.25</v>
      </c>
      <c r="S6" s="285">
        <f>IF(L6='11 FORMULAS'!$P$5,C6-(C6*R6),C6)</f>
        <v>0.4</v>
      </c>
      <c r="T6" s="285">
        <f>IF(L6='11 FORMULAS'!$P$6,D6-(D6*R6),D6)</f>
        <v>0.60000000000000009</v>
      </c>
      <c r="U6" s="487">
        <f>+IF(S9="","",S9)</f>
        <v>0.4</v>
      </c>
      <c r="V6" s="490">
        <f>+IF(T9="","",T9)</f>
        <v>0.33750000000000002</v>
      </c>
      <c r="X6" s="39" t="s">
        <v>53</v>
      </c>
      <c r="Y6" s="34">
        <v>0.41</v>
      </c>
      <c r="Z6" s="33">
        <v>0.6</v>
      </c>
    </row>
    <row r="7" spans="1:26" ht="73.5" customHeight="1" x14ac:dyDescent="0.25">
      <c r="A7" s="482"/>
      <c r="B7" s="485"/>
      <c r="C7" s="460"/>
      <c r="D7" s="463"/>
      <c r="E7" s="62">
        <v>2</v>
      </c>
      <c r="F7" s="320" t="s">
        <v>291</v>
      </c>
      <c r="G7" s="321" t="s">
        <v>295</v>
      </c>
      <c r="H7" s="321" t="s">
        <v>271</v>
      </c>
      <c r="I7" s="317" t="str">
        <f t="shared" si="0"/>
        <v>el Director tecnico que es el encargado de  hacer seguimiento a la ejecución de la actividades cuando se requiera</v>
      </c>
      <c r="J7" s="1" t="s">
        <v>102</v>
      </c>
      <c r="K7" s="58">
        <f>+IF(J7='11 FORMULAS'!$E$4,'11 FORMULAS'!$F$4,IF(J7='11 FORMULAS'!$E$5,'11 FORMULAS'!$F$5,IF(J7='11 FORMULAS'!$E$6,'11 FORMULAS'!$F$6,"")))</f>
        <v>0.1</v>
      </c>
      <c r="L7" s="58" t="str">
        <f>+IF(OR(J7='11 FORMULAS'!$O$4,J7='11 FORMULAS'!$O$5),'11 FORMULAS'!$P$5,IF(J7='11 FORMULAS'!$O$6,'11 FORMULAS'!$P$6,""))</f>
        <v>Impacto</v>
      </c>
      <c r="M7" s="314" t="s">
        <v>89</v>
      </c>
      <c r="N7" s="58">
        <f>+IF(M7='11 FORMULAS'!$H$4,'11 FORMULAS'!$I$4,IF(M7='11 FORMULAS'!$H$5,'11 FORMULAS'!$I$5,""))</f>
        <v>0.15</v>
      </c>
      <c r="O7" s="4" t="s">
        <v>92</v>
      </c>
      <c r="P7" s="4" t="s">
        <v>94</v>
      </c>
      <c r="Q7" s="4" t="s">
        <v>97</v>
      </c>
      <c r="R7" s="286">
        <f t="shared" ref="R7:R9" si="1">+IFERROR(K7+N7,"")</f>
        <v>0.25</v>
      </c>
      <c r="S7" s="286">
        <f>IF(L7='11 FORMULAS'!$P$5,S6-(S6*R7),S6)</f>
        <v>0.4</v>
      </c>
      <c r="T7" s="286">
        <f>IF(L7='11 FORMULAS'!$P$6,T6-(T6*R7),T6)</f>
        <v>0.45000000000000007</v>
      </c>
      <c r="U7" s="488"/>
      <c r="V7" s="491"/>
      <c r="X7" s="40" t="s">
        <v>55</v>
      </c>
      <c r="Y7" s="34">
        <v>0.61</v>
      </c>
      <c r="Z7" s="33">
        <v>0.8</v>
      </c>
    </row>
    <row r="8" spans="1:26" ht="82.5" customHeight="1" x14ac:dyDescent="0.25">
      <c r="A8" s="482"/>
      <c r="B8" s="485"/>
      <c r="C8" s="460"/>
      <c r="D8" s="463"/>
      <c r="E8" s="62">
        <v>3</v>
      </c>
      <c r="F8" s="321" t="s">
        <v>292</v>
      </c>
      <c r="G8" s="321" t="s">
        <v>287</v>
      </c>
      <c r="H8" s="321" t="s">
        <v>271</v>
      </c>
      <c r="I8" s="317" t="str">
        <f t="shared" si="0"/>
        <v>el Inspector es el encargado de  ejecutar la acción de corrección del taponamiento o de la fuga cuando se requiera</v>
      </c>
      <c r="J8" s="1" t="s">
        <v>102</v>
      </c>
      <c r="K8" s="58">
        <f>+IF(J8='11 FORMULAS'!$E$4,'11 FORMULAS'!$F$4,IF(J8='11 FORMULAS'!$E$5,'11 FORMULAS'!$F$5,IF(J8='11 FORMULAS'!$E$6,'11 FORMULAS'!$F$6,"")))</f>
        <v>0.1</v>
      </c>
      <c r="L8" s="58" t="str">
        <f>+IF(OR(J8='11 FORMULAS'!$O$4,J8='11 FORMULAS'!$O$5),'11 FORMULAS'!$P$5,IF(J8='11 FORMULAS'!$O$6,'11 FORMULAS'!$P$6,""))</f>
        <v>Impacto</v>
      </c>
      <c r="M8" s="314" t="s">
        <v>89</v>
      </c>
      <c r="N8" s="58">
        <f>+IF(M8='11 FORMULAS'!$H$4,'11 FORMULAS'!$I$4,IF(M8='11 FORMULAS'!$H$5,'11 FORMULAS'!$I$5,""))</f>
        <v>0.15</v>
      </c>
      <c r="O8" s="4" t="s">
        <v>92</v>
      </c>
      <c r="P8" s="4" t="s">
        <v>94</v>
      </c>
      <c r="Q8" s="4" t="s">
        <v>97</v>
      </c>
      <c r="R8" s="286">
        <f>+IFERROR(K8+N8,"")</f>
        <v>0.25</v>
      </c>
      <c r="S8" s="286">
        <f>IF(L8='11 FORMULAS'!$P$5,S7-(S7*R8),S7)</f>
        <v>0.4</v>
      </c>
      <c r="T8" s="286">
        <f>IF(L8='11 FORMULAS'!$P$6,T7-(T7*R8),T7)</f>
        <v>0.33750000000000002</v>
      </c>
      <c r="U8" s="488"/>
      <c r="V8" s="491"/>
      <c r="X8" s="41" t="s">
        <v>56</v>
      </c>
      <c r="Y8" s="34">
        <v>0.81</v>
      </c>
      <c r="Z8" s="33">
        <v>1</v>
      </c>
    </row>
    <row r="9" spans="1:26" ht="29.45" customHeight="1" thickBot="1" x14ac:dyDescent="0.3">
      <c r="A9" s="483"/>
      <c r="B9" s="486"/>
      <c r="C9" s="461"/>
      <c r="D9" s="464"/>
      <c r="E9" s="63">
        <v>4</v>
      </c>
      <c r="F9" s="323"/>
      <c r="G9" s="209"/>
      <c r="H9" s="209"/>
      <c r="I9" s="280" t="str">
        <f t="shared" si="0"/>
        <v xml:space="preserve">  </v>
      </c>
      <c r="J9" s="7"/>
      <c r="K9" s="59" t="str">
        <f>+IF(J9='11 FORMULAS'!$E$4,'11 FORMULAS'!$F$4,IF(J9='11 FORMULAS'!$E$5,'11 FORMULAS'!$F$5,IF(J9='11 FORMULAS'!$E$6,'11 FORMULAS'!$F$6,"")))</f>
        <v/>
      </c>
      <c r="L9" s="59" t="str">
        <f>+IF(OR(J9='11 FORMULAS'!$O$4,J9='11 FORMULAS'!$O$5),'11 FORMULAS'!$P$5,IF(J9='11 FORMULAS'!$O$6,'11 FORMULAS'!$P$6,""))</f>
        <v/>
      </c>
      <c r="M9" s="7"/>
      <c r="N9" s="59" t="str">
        <f>+IF(M9='11 FORMULAS'!$H$4,'11 FORMULAS'!$I$4,IF(M9='11 FORMULAS'!$H$5,'11 FORMULAS'!$I$5,""))</f>
        <v/>
      </c>
      <c r="O9" s="8"/>
      <c r="P9" s="8"/>
      <c r="Q9" s="8"/>
      <c r="R9" s="287" t="str">
        <f t="shared" si="1"/>
        <v/>
      </c>
      <c r="S9" s="287">
        <f>IF(L9='11 FORMULAS'!$P$5,S8-(S8*R9),S8)</f>
        <v>0.4</v>
      </c>
      <c r="T9" s="287">
        <f>IF(L9='11 FORMULAS'!$P$6,T8-(T8*R9),T8)</f>
        <v>0.33750000000000002</v>
      </c>
      <c r="U9" s="489"/>
      <c r="V9" s="492"/>
      <c r="X9" s="42"/>
      <c r="Y9" s="43"/>
      <c r="Z9" s="44"/>
    </row>
    <row r="10" spans="1:26" ht="59.25" customHeight="1" x14ac:dyDescent="0.25">
      <c r="A10" s="481" t="str">
        <f>'2 CONTEXTO E IDENTIFICACIÓN'!A7</f>
        <v>R2</v>
      </c>
      <c r="B10" s="484" t="str">
        <f>+'2 CONTEXTO E IDENTIFICACIÓN'!E7</f>
        <v>Posibilidad de pérdida Económica y Reputacional por la atención inoportuna de las solicitudes de reparación de alcantarillado debido a la falta de seguimiento a las ordenes de trabajo generadas, falta de personal operativo para los grupos de trabajo y falta de asignación de recursos o de disponibilidad de materiales.</v>
      </c>
      <c r="C10" s="459">
        <f>+'3 PROBABIL E IMPACTO INHERENTE'!E9</f>
        <v>0.6</v>
      </c>
      <c r="D10" s="462">
        <f>+'3 PROBABIL E IMPACTO INHERENTE'!M9</f>
        <v>0.8</v>
      </c>
      <c r="E10" s="61">
        <v>1</v>
      </c>
      <c r="F10" s="321" t="s">
        <v>288</v>
      </c>
      <c r="G10" s="318" t="s">
        <v>272</v>
      </c>
      <c r="H10" s="318" t="s">
        <v>273</v>
      </c>
      <c r="I10" s="319" t="str">
        <f t="shared" si="0"/>
        <v>el Subgerente Técnico y Operativo es el encargado de  tomar decisiones operativas de manera diairia</v>
      </c>
      <c r="J10" s="315" t="s">
        <v>102</v>
      </c>
      <c r="K10" s="57">
        <f>+IF(J10='11 FORMULAS'!$E$4,'11 FORMULAS'!$F$4,IF(J10='11 FORMULAS'!$E$5,'11 FORMULAS'!$F$5,IF(J10='11 FORMULAS'!$E$6,'11 FORMULAS'!$F$6,"")))</f>
        <v>0.1</v>
      </c>
      <c r="L10" s="57" t="str">
        <f>+IF(OR(J10='11 FORMULAS'!$O$4,J10='11 FORMULAS'!$O$5),'11 FORMULAS'!$P$5,IF(J10='11 FORMULAS'!$O$6,'11 FORMULAS'!$P$6,""))</f>
        <v>Impacto</v>
      </c>
      <c r="M10" s="5" t="s">
        <v>89</v>
      </c>
      <c r="N10" s="57">
        <f>+IF(M10='11 FORMULAS'!$H$4,'11 FORMULAS'!$I$4,IF(M10='11 FORMULAS'!$H$5,'11 FORMULAS'!$I$5,""))</f>
        <v>0.15</v>
      </c>
      <c r="O10" s="6" t="s">
        <v>92</v>
      </c>
      <c r="P10" s="6" t="s">
        <v>94</v>
      </c>
      <c r="Q10" s="6" t="s">
        <v>97</v>
      </c>
      <c r="R10" s="285">
        <f>+IFERROR(K10+N10,"")</f>
        <v>0.25</v>
      </c>
      <c r="S10" s="285">
        <f>IF(L10='11 FORMULAS'!$P$5,C10-(C10*R10),C10)</f>
        <v>0.6</v>
      </c>
      <c r="T10" s="285">
        <f>IF(L10='11 FORMULAS'!$P$6,D10-(D10*R10),D10)</f>
        <v>0.60000000000000009</v>
      </c>
      <c r="U10" s="487">
        <f>+IF(S13="","",S13)</f>
        <v>0.6</v>
      </c>
      <c r="V10" s="490">
        <f>+IF(T13="","",T13)</f>
        <v>0.25312500000000004</v>
      </c>
      <c r="X10" s="282"/>
      <c r="Y10" s="283"/>
      <c r="Z10" s="283"/>
    </row>
    <row r="11" spans="1:26" ht="60.75" customHeight="1" x14ac:dyDescent="0.25">
      <c r="A11" s="482"/>
      <c r="B11" s="485"/>
      <c r="C11" s="460"/>
      <c r="D11" s="463"/>
      <c r="E11" s="62">
        <v>2</v>
      </c>
      <c r="F11" s="321" t="s">
        <v>290</v>
      </c>
      <c r="G11" s="320" t="s">
        <v>289</v>
      </c>
      <c r="H11" s="320" t="s">
        <v>274</v>
      </c>
      <c r="I11" s="317" t="str">
        <f t="shared" si="0"/>
        <v>el Director Técnico es el encargado de controlar la ejecución de las ordenes de trabajo de manera diaria</v>
      </c>
      <c r="J11" s="314" t="s">
        <v>102</v>
      </c>
      <c r="K11" s="58">
        <f>+IF(J11='11 FORMULAS'!$E$4,'11 FORMULAS'!$F$4,IF(J11='11 FORMULAS'!$E$5,'11 FORMULAS'!$F$5,IF(J11='11 FORMULAS'!$E$6,'11 FORMULAS'!$F$6,"")))</f>
        <v>0.1</v>
      </c>
      <c r="L11" s="58" t="str">
        <f>+IF(OR(J11='11 FORMULAS'!$O$4,J11='11 FORMULAS'!$O$5),'11 FORMULAS'!$P$5,IF(J11='11 FORMULAS'!$O$6,'11 FORMULAS'!$P$6,""))</f>
        <v>Impacto</v>
      </c>
      <c r="M11" s="1" t="s">
        <v>89</v>
      </c>
      <c r="N11" s="58">
        <f>+IF(M11='11 FORMULAS'!$H$4,'11 FORMULAS'!$I$4,IF(M11='11 FORMULAS'!$H$5,'11 FORMULAS'!$I$5,""))</f>
        <v>0.15</v>
      </c>
      <c r="O11" s="4" t="s">
        <v>92</v>
      </c>
      <c r="P11" s="4" t="s">
        <v>94</v>
      </c>
      <c r="Q11" s="4" t="s">
        <v>97</v>
      </c>
      <c r="R11" s="286">
        <f t="shared" ref="R11" si="2">+IFERROR(K11+N11,"")</f>
        <v>0.25</v>
      </c>
      <c r="S11" s="286">
        <f>IF(L11='11 FORMULAS'!$P$5,S10-(S10*R11),S10)</f>
        <v>0.6</v>
      </c>
      <c r="T11" s="286">
        <f>IF(L11='11 FORMULAS'!$P$6,T10-(T10*R11),T10)</f>
        <v>0.45000000000000007</v>
      </c>
      <c r="U11" s="488"/>
      <c r="V11" s="491"/>
      <c r="X11" s="282"/>
      <c r="Y11" s="283"/>
      <c r="Z11" s="283"/>
    </row>
    <row r="12" spans="1:26" ht="74.25" customHeight="1" x14ac:dyDescent="0.25">
      <c r="A12" s="482"/>
      <c r="B12" s="485"/>
      <c r="C12" s="460"/>
      <c r="D12" s="463"/>
      <c r="E12" s="62">
        <v>3</v>
      </c>
      <c r="F12" s="321" t="s">
        <v>280</v>
      </c>
      <c r="G12" s="321" t="s">
        <v>281</v>
      </c>
      <c r="H12" s="321" t="s">
        <v>274</v>
      </c>
      <c r="I12" s="317" t="str">
        <f t="shared" si="0"/>
        <v>el profesional universitario UCO es el encargado de recepcionar y asignar ordenes de trabajo de manera diaria</v>
      </c>
      <c r="J12" s="314" t="s">
        <v>102</v>
      </c>
      <c r="K12" s="58">
        <f>+IF(J12='11 FORMULAS'!$E$4,'11 FORMULAS'!$F$4,IF(J12='11 FORMULAS'!$E$5,'11 FORMULAS'!$F$5,IF(J12='11 FORMULAS'!$E$6,'11 FORMULAS'!$F$6,"")))</f>
        <v>0.1</v>
      </c>
      <c r="L12" s="58" t="str">
        <f>+IF(OR(J12='11 FORMULAS'!$O$4,J12='11 FORMULAS'!$O$5),'11 FORMULAS'!$P$5,IF(J12='11 FORMULAS'!$O$6,'11 FORMULAS'!$P$6,""))</f>
        <v>Impacto</v>
      </c>
      <c r="M12" s="1" t="s">
        <v>89</v>
      </c>
      <c r="N12" s="58">
        <f>+IF(M12='11 FORMULAS'!$H$4,'11 FORMULAS'!$I$4,IF(M12='11 FORMULAS'!$H$5,'11 FORMULAS'!$I$5,""))</f>
        <v>0.15</v>
      </c>
      <c r="O12" s="4" t="s">
        <v>92</v>
      </c>
      <c r="P12" s="4" t="s">
        <v>94</v>
      </c>
      <c r="Q12" s="4" t="s">
        <v>97</v>
      </c>
      <c r="R12" s="286">
        <f>+IFERROR(K12+N12,"")</f>
        <v>0.25</v>
      </c>
      <c r="S12" s="286">
        <f>IF(L12='11 FORMULAS'!$P$5,S11-(S11*R12),S11)</f>
        <v>0.6</v>
      </c>
      <c r="T12" s="286">
        <f>IF(L12='11 FORMULAS'!$P$6,T11-(T11*R12),T11)</f>
        <v>0.33750000000000002</v>
      </c>
      <c r="U12" s="488"/>
      <c r="V12" s="491"/>
      <c r="X12" s="282"/>
      <c r="Y12" s="283"/>
      <c r="Z12" s="283"/>
    </row>
    <row r="13" spans="1:26" ht="78.75" customHeight="1" thickBot="1" x14ac:dyDescent="0.3">
      <c r="A13" s="483"/>
      <c r="B13" s="486"/>
      <c r="C13" s="461"/>
      <c r="D13" s="464"/>
      <c r="E13" s="63">
        <v>4</v>
      </c>
      <c r="F13" s="323" t="s">
        <v>282</v>
      </c>
      <c r="G13" s="323" t="s">
        <v>283</v>
      </c>
      <c r="H13" s="321" t="s">
        <v>274</v>
      </c>
      <c r="I13" s="355" t="str">
        <f t="shared" si="0"/>
        <v>el inspector de alcantarillado es el encargado de ejecutar la atención de las ordenes de trabajo  de manera diaria</v>
      </c>
      <c r="J13" s="7" t="s">
        <v>102</v>
      </c>
      <c r="K13" s="59">
        <f>+IF(J13='11 FORMULAS'!$E$4,'11 FORMULAS'!$F$4,IF(J13='11 FORMULAS'!$E$5,'11 FORMULAS'!$F$5,IF(J13='11 FORMULAS'!$E$6,'11 FORMULAS'!$F$6,"")))</f>
        <v>0.1</v>
      </c>
      <c r="L13" s="59" t="str">
        <f>+IF(OR(J13='11 FORMULAS'!$O$4,J13='11 FORMULAS'!$O$5),'11 FORMULAS'!$P$5,IF(J13='11 FORMULAS'!$O$6,'11 FORMULAS'!$P$6,""))</f>
        <v>Impacto</v>
      </c>
      <c r="M13" s="7" t="s">
        <v>89</v>
      </c>
      <c r="N13" s="59">
        <f>+IF(M13='11 FORMULAS'!$H$4,'11 FORMULAS'!$I$4,IF(M13='11 FORMULAS'!$H$5,'11 FORMULAS'!$I$5,""))</f>
        <v>0.15</v>
      </c>
      <c r="O13" s="8" t="s">
        <v>92</v>
      </c>
      <c r="P13" s="8" t="s">
        <v>94</v>
      </c>
      <c r="Q13" s="8" t="s">
        <v>97</v>
      </c>
      <c r="R13" s="287">
        <f t="shared" ref="R13" si="3">+IFERROR(K13+N13,"")</f>
        <v>0.25</v>
      </c>
      <c r="S13" s="287">
        <f>IF(L13='11 FORMULAS'!$P$5,S12-(S12*R13),S12)</f>
        <v>0.6</v>
      </c>
      <c r="T13" s="287">
        <f>IF(L13='11 FORMULAS'!$P$6,T12-(T12*R13),T12)</f>
        <v>0.25312500000000004</v>
      </c>
      <c r="U13" s="489"/>
      <c r="V13" s="492"/>
    </row>
    <row r="14" spans="1:26" ht="68.25" customHeight="1" x14ac:dyDescent="0.25">
      <c r="A14" s="481" t="str">
        <f>'2 CONTEXTO E IDENTIFICACIÓN'!A8</f>
        <v>R3</v>
      </c>
      <c r="B14" s="484" t="str">
        <f>+'2 CONTEXTO E IDENTIFICACIÓN'!E8</f>
        <v>Posibilidad de pérdida Económica y Reputacional por la falta de atención a las afectaciones generadas por actividades de alcantarillado debido a que la parametrización del software permite el cierre de ordenes de trabajo con actividades pendientes.</v>
      </c>
      <c r="C14" s="459">
        <f>+'3 PROBABIL E IMPACTO INHERENTE'!E10</f>
        <v>0.4</v>
      </c>
      <c r="D14" s="462">
        <f>+'3 PROBABIL E IMPACTO INHERENTE'!M10</f>
        <v>0.8</v>
      </c>
      <c r="E14" s="61">
        <v>1</v>
      </c>
      <c r="F14" s="321" t="s">
        <v>293</v>
      </c>
      <c r="G14" s="318" t="s">
        <v>272</v>
      </c>
      <c r="H14" s="318" t="s">
        <v>274</v>
      </c>
      <c r="I14" s="319" t="str">
        <f t="shared" si="0"/>
        <v>el Subgerente tecnico y operativo es el encargado de  tomar decisiones operativas de manera diaria</v>
      </c>
      <c r="J14" s="5" t="s">
        <v>102</v>
      </c>
      <c r="K14" s="57">
        <f>+IF(J14='11 FORMULAS'!$E$4,'11 FORMULAS'!$F$4,IF(J14='11 FORMULAS'!$E$5,'11 FORMULAS'!$F$5,IF(J14='11 FORMULAS'!$E$6,'11 FORMULAS'!$F$6,"")))</f>
        <v>0.1</v>
      </c>
      <c r="L14" s="57" t="str">
        <f>+IF(OR(J14='11 FORMULAS'!$O$4,J14='11 FORMULAS'!$O$5),'11 FORMULAS'!$P$5,IF(J14='11 FORMULAS'!$O$6,'11 FORMULAS'!$P$6,""))</f>
        <v>Impacto</v>
      </c>
      <c r="M14" s="5" t="s">
        <v>89</v>
      </c>
      <c r="N14" s="57">
        <f>+IF(M14='11 FORMULAS'!$H$4,'11 FORMULAS'!$I$4,IF(M14='11 FORMULAS'!$H$5,'11 FORMULAS'!$I$5,""))</f>
        <v>0.15</v>
      </c>
      <c r="O14" s="6" t="s">
        <v>92</v>
      </c>
      <c r="P14" s="6" t="s">
        <v>94</v>
      </c>
      <c r="Q14" s="6" t="s">
        <v>97</v>
      </c>
      <c r="R14" s="285">
        <f>+IFERROR(K14+N14,"")</f>
        <v>0.25</v>
      </c>
      <c r="S14" s="285">
        <f>IF(L14='11 FORMULAS'!$P$5,C14-(C14*R14),C14)</f>
        <v>0.4</v>
      </c>
      <c r="T14" s="285">
        <f>IF(L14='11 FORMULAS'!$P$6,D14-(D14*R14),D14)</f>
        <v>0.60000000000000009</v>
      </c>
      <c r="U14" s="487">
        <f>+IF(S17="","",S17)</f>
        <v>0.4</v>
      </c>
      <c r="V14" s="490">
        <f>+IF(T17="","",T17)</f>
        <v>0.45000000000000007</v>
      </c>
      <c r="X14" s="282"/>
      <c r="Y14" s="283"/>
      <c r="Z14" s="283"/>
    </row>
    <row r="15" spans="1:26" ht="73.5" customHeight="1" x14ac:dyDescent="0.25">
      <c r="A15" s="482"/>
      <c r="B15" s="485"/>
      <c r="C15" s="460"/>
      <c r="D15" s="463"/>
      <c r="E15" s="62">
        <v>2</v>
      </c>
      <c r="F15" s="321" t="s">
        <v>294</v>
      </c>
      <c r="G15" s="321" t="s">
        <v>284</v>
      </c>
      <c r="H15" s="321" t="s">
        <v>274</v>
      </c>
      <c r="I15" s="317" t="str">
        <f t="shared" si="0"/>
        <v>el Profesional universitario UCO es el encargado de recepcionar, asignar y cerrar las ordenes de trabajo de manera diaria</v>
      </c>
      <c r="J15" s="1" t="s">
        <v>102</v>
      </c>
      <c r="K15" s="58">
        <f>+IF(J15='11 FORMULAS'!$E$4,'11 FORMULAS'!$F$4,IF(J15='11 FORMULAS'!$E$5,'11 FORMULAS'!$F$5,IF(J15='11 FORMULAS'!$E$6,'11 FORMULAS'!$F$6,"")))</f>
        <v>0.1</v>
      </c>
      <c r="L15" s="58" t="str">
        <f>+IF(OR(J15='11 FORMULAS'!$O$4,J15='11 FORMULAS'!$O$5),'11 FORMULAS'!$P$5,IF(J15='11 FORMULAS'!$O$6,'11 FORMULAS'!$P$6,""))</f>
        <v>Impacto</v>
      </c>
      <c r="M15" s="1" t="s">
        <v>89</v>
      </c>
      <c r="N15" s="58">
        <f>+IF(M15='11 FORMULAS'!$H$4,'11 FORMULAS'!$I$4,IF(M15='11 FORMULAS'!$H$5,'11 FORMULAS'!$I$5,""))</f>
        <v>0.15</v>
      </c>
      <c r="O15" s="4" t="s">
        <v>92</v>
      </c>
      <c r="P15" s="4" t="s">
        <v>94</v>
      </c>
      <c r="Q15" s="4" t="s">
        <v>97</v>
      </c>
      <c r="R15" s="286">
        <f t="shared" ref="R15" si="4">+IFERROR(K15+N15,"")</f>
        <v>0.25</v>
      </c>
      <c r="S15" s="286">
        <f>IF(L15='11 FORMULAS'!$P$5,S14-(S14*R15),S14)</f>
        <v>0.4</v>
      </c>
      <c r="T15" s="286">
        <f>IF(L15='11 FORMULAS'!$P$6,T14-(T14*R15),T14)</f>
        <v>0.45000000000000007</v>
      </c>
      <c r="U15" s="488"/>
      <c r="V15" s="491"/>
      <c r="X15" s="282"/>
      <c r="Y15" s="283"/>
      <c r="Z15" s="283"/>
    </row>
    <row r="16" spans="1:26" ht="29.45" customHeight="1" x14ac:dyDescent="0.25">
      <c r="A16" s="482"/>
      <c r="B16" s="485"/>
      <c r="C16" s="460"/>
      <c r="D16" s="463"/>
      <c r="E16" s="62">
        <v>3</v>
      </c>
      <c r="F16" s="321"/>
      <c r="G16" s="208"/>
      <c r="H16" s="208"/>
      <c r="I16" s="279" t="str">
        <f t="shared" si="0"/>
        <v xml:space="preserve">  </v>
      </c>
      <c r="J16" s="1"/>
      <c r="K16" s="58" t="str">
        <f>+IF(J16='11 FORMULAS'!$E$4,'11 FORMULAS'!$F$4,IF(J16='11 FORMULAS'!$E$5,'11 FORMULAS'!$F$5,IF(J16='11 FORMULAS'!$E$6,'11 FORMULAS'!$F$6,"")))</f>
        <v/>
      </c>
      <c r="L16" s="58" t="str">
        <f>+IF(OR(J16='11 FORMULAS'!$O$4,J16='11 FORMULAS'!$O$5),'11 FORMULAS'!$P$5,IF(J16='11 FORMULAS'!$O$6,'11 FORMULAS'!$P$6,""))</f>
        <v/>
      </c>
      <c r="M16" s="1"/>
      <c r="N16" s="58" t="str">
        <f>+IF(M16='11 FORMULAS'!$H$4,'11 FORMULAS'!$I$4,IF(M16='11 FORMULAS'!$H$5,'11 FORMULAS'!$I$5,""))</f>
        <v/>
      </c>
      <c r="O16" s="4"/>
      <c r="P16" s="4"/>
      <c r="Q16" s="4"/>
      <c r="R16" s="286" t="str">
        <f>+IFERROR(K16+N16,"")</f>
        <v/>
      </c>
      <c r="S16" s="286">
        <f>IF(L16='11 FORMULAS'!$P$5,S15-(S15*R16),S15)</f>
        <v>0.4</v>
      </c>
      <c r="T16" s="286">
        <f>IF(L16='11 FORMULAS'!$P$6,T15-(T15*R16),T15)</f>
        <v>0.45000000000000007</v>
      </c>
      <c r="U16" s="488"/>
      <c r="V16" s="491"/>
      <c r="X16" s="282"/>
      <c r="Y16" s="283"/>
      <c r="Z16" s="283"/>
    </row>
    <row r="17" spans="1:26" ht="60.75" customHeight="1" thickBot="1" x14ac:dyDescent="0.3">
      <c r="A17" s="483"/>
      <c r="B17" s="486"/>
      <c r="C17" s="461"/>
      <c r="D17" s="464"/>
      <c r="E17" s="63">
        <v>4</v>
      </c>
      <c r="F17" s="323"/>
      <c r="G17" s="209"/>
      <c r="H17" s="209"/>
      <c r="I17" s="280" t="str">
        <f t="shared" si="0"/>
        <v xml:space="preserve">  </v>
      </c>
      <c r="J17" s="7"/>
      <c r="K17" s="59" t="str">
        <f>+IF(J17='11 FORMULAS'!$E$4,'11 FORMULAS'!$F$4,IF(J17='11 FORMULAS'!$E$5,'11 FORMULAS'!$F$5,IF(J17='11 FORMULAS'!$E$6,'11 FORMULAS'!$F$6,"")))</f>
        <v/>
      </c>
      <c r="L17" s="59" t="str">
        <f>+IF(OR(J17='11 FORMULAS'!$O$4,J17='11 FORMULAS'!$O$5),'11 FORMULAS'!$P$5,IF(J17='11 FORMULAS'!$O$6,'11 FORMULAS'!$P$6,""))</f>
        <v/>
      </c>
      <c r="M17" s="7"/>
      <c r="N17" s="59" t="str">
        <f>+IF(M17='11 FORMULAS'!$H$4,'11 FORMULAS'!$I$4,IF(M17='11 FORMULAS'!$H$5,'11 FORMULAS'!$I$5,""))</f>
        <v/>
      </c>
      <c r="O17" s="8"/>
      <c r="P17" s="8"/>
      <c r="Q17" s="8"/>
      <c r="R17" s="287" t="str">
        <f t="shared" ref="R17" si="5">+IFERROR(K17+N17,"")</f>
        <v/>
      </c>
      <c r="S17" s="287">
        <f>IF(L17='11 FORMULAS'!$P$5,S16-(S16*R17),S16)</f>
        <v>0.4</v>
      </c>
      <c r="T17" s="287">
        <f>IF(L17='11 FORMULAS'!$P$6,T16-(T16*R17),T16)</f>
        <v>0.45000000000000007</v>
      </c>
      <c r="U17" s="489"/>
      <c r="V17" s="492"/>
    </row>
    <row r="18" spans="1:26" ht="29.45" customHeight="1" x14ac:dyDescent="0.25">
      <c r="A18" s="481" t="str">
        <f>'2 CONTEXTO E IDENTIFICACIÓN'!A9</f>
        <v>R4</v>
      </c>
      <c r="B18" s="484" t="str">
        <f>+'2 CONTEXTO E IDENTIFICACIÓN'!E9</f>
        <v>Posibilidad de pérdida Económica y Reputacional Por la captacion del caudal de las plantas de tratamiento  de los municipios  por encima del lt/s consecionados  Debido a la falta de medicion en el sistema de las bocatomas</v>
      </c>
      <c r="C18" s="459">
        <f>+'3 PROBABIL E IMPACTO INHERENTE'!E11</f>
        <v>0.6</v>
      </c>
      <c r="D18" s="462">
        <f>+'3 PROBABIL E IMPACTO INHERENTE'!M11</f>
        <v>0.8</v>
      </c>
      <c r="E18" s="61">
        <v>1</v>
      </c>
      <c r="F18" s="318" t="s">
        <v>310</v>
      </c>
      <c r="G18" s="318" t="s">
        <v>320</v>
      </c>
      <c r="H18" s="318" t="s">
        <v>321</v>
      </c>
      <c r="I18" s="278" t="str">
        <f t="shared" si="0"/>
        <v>el Gerente es el encargado de  asignar recursos anualmente</v>
      </c>
      <c r="J18" s="5"/>
      <c r="K18" s="57" t="str">
        <f>+IF(J18='11 FORMULAS'!$E$4,'11 FORMULAS'!$F$4,IF(J18='11 FORMULAS'!$E$5,'11 FORMULAS'!$F$5,IF(J18='11 FORMULAS'!$E$6,'11 FORMULAS'!$F$6,"")))</f>
        <v/>
      </c>
      <c r="L18" s="57" t="str">
        <f>+IF(OR(J18='11 FORMULAS'!$O$4,J18='11 FORMULAS'!$O$5),'11 FORMULAS'!$P$5,IF(J18='11 FORMULAS'!$O$6,'11 FORMULAS'!$P$6,""))</f>
        <v/>
      </c>
      <c r="M18" s="5"/>
      <c r="N18" s="57" t="str">
        <f>+IF(M18='11 FORMULAS'!$H$4,'11 FORMULAS'!$I$4,IF(M18='11 FORMULAS'!$H$5,'11 FORMULAS'!$I$5,""))</f>
        <v/>
      </c>
      <c r="O18" s="6"/>
      <c r="P18" s="6"/>
      <c r="Q18" s="6"/>
      <c r="R18" s="285" t="str">
        <f>+IFERROR(K18+N18,"")</f>
        <v/>
      </c>
      <c r="S18" s="285">
        <f>IF(L18='11 FORMULAS'!$P$5,C18-(C18*R18),C18)</f>
        <v>0.6</v>
      </c>
      <c r="T18" s="285">
        <f>IF(L18='11 FORMULAS'!$P$6,D18-(D18*R18),D18)</f>
        <v>0.8</v>
      </c>
      <c r="U18" s="487">
        <f>+IF(S21="","",S21)</f>
        <v>0.6</v>
      </c>
      <c r="V18" s="490">
        <f>+IF(T21="","",T21)</f>
        <v>0.8</v>
      </c>
      <c r="X18" s="282"/>
      <c r="Y18" s="283"/>
      <c r="Z18" s="283"/>
    </row>
    <row r="19" spans="1:26" ht="29.45" customHeight="1" x14ac:dyDescent="0.25">
      <c r="A19" s="482"/>
      <c r="B19" s="485"/>
      <c r="C19" s="460"/>
      <c r="D19" s="463"/>
      <c r="E19" s="62">
        <v>2</v>
      </c>
      <c r="F19" s="321" t="s">
        <v>322</v>
      </c>
      <c r="G19" s="321" t="s">
        <v>323</v>
      </c>
      <c r="H19" s="321" t="s">
        <v>321</v>
      </c>
      <c r="I19" s="279" t="str">
        <f t="shared" si="0"/>
        <v>el Subgerente técnico y operativo es el encargado de gestionar la adquisición de los equipos de medición  anualmente</v>
      </c>
      <c r="J19" s="1"/>
      <c r="K19" s="58" t="str">
        <f>+IF(J19='11 FORMULAS'!$E$4,'11 FORMULAS'!$F$4,IF(J19='11 FORMULAS'!$E$5,'11 FORMULAS'!$F$5,IF(J19='11 FORMULAS'!$E$6,'11 FORMULAS'!$F$6,"")))</f>
        <v/>
      </c>
      <c r="L19" s="58" t="str">
        <f>+IF(OR(J19='11 FORMULAS'!$O$4,J19='11 FORMULAS'!$O$5),'11 FORMULAS'!$P$5,IF(J19='11 FORMULAS'!$O$6,'11 FORMULAS'!$P$6,""))</f>
        <v/>
      </c>
      <c r="M19" s="1"/>
      <c r="N19" s="58" t="str">
        <f>+IF(M19='11 FORMULAS'!$H$4,'11 FORMULAS'!$I$4,IF(M19='11 FORMULAS'!$H$5,'11 FORMULAS'!$I$5,""))</f>
        <v/>
      </c>
      <c r="O19" s="4"/>
      <c r="P19" s="4"/>
      <c r="Q19" s="4"/>
      <c r="R19" s="286" t="str">
        <f t="shared" ref="R19" si="6">+IFERROR(K19+N19,"")</f>
        <v/>
      </c>
      <c r="S19" s="286">
        <f>IF(L19='11 FORMULAS'!$P$5,S18-(S18*R19),S18)</f>
        <v>0.6</v>
      </c>
      <c r="T19" s="286">
        <f>IF(L19='11 FORMULAS'!$P$6,T18-(T18*R19),T18)</f>
        <v>0.8</v>
      </c>
      <c r="U19" s="488"/>
      <c r="V19" s="491"/>
      <c r="X19" s="282"/>
      <c r="Y19" s="283"/>
      <c r="Z19" s="283"/>
    </row>
    <row r="20" spans="1:26" ht="29.45" customHeight="1" x14ac:dyDescent="0.25">
      <c r="A20" s="482"/>
      <c r="B20" s="485"/>
      <c r="C20" s="460"/>
      <c r="D20" s="463"/>
      <c r="E20" s="62">
        <v>3</v>
      </c>
      <c r="F20" s="321" t="s">
        <v>324</v>
      </c>
      <c r="G20" s="321" t="s">
        <v>325</v>
      </c>
      <c r="H20" s="321" t="s">
        <v>271</v>
      </c>
      <c r="I20" s="279" t="str">
        <f t="shared" si="0"/>
        <v>el Profesional de apoyo a plantas es el encargado de  identificar las necesidades cuando se requiera</v>
      </c>
      <c r="J20" s="1"/>
      <c r="K20" s="58" t="str">
        <f>+IF(J20='11 FORMULAS'!$E$4,'11 FORMULAS'!$F$4,IF(J20='11 FORMULAS'!$E$5,'11 FORMULAS'!$F$5,IF(J20='11 FORMULAS'!$E$6,'11 FORMULAS'!$F$6,"")))</f>
        <v/>
      </c>
      <c r="L20" s="58" t="str">
        <f>+IF(OR(J20='11 FORMULAS'!$O$4,J20='11 FORMULAS'!$O$5),'11 FORMULAS'!$P$5,IF(J20='11 FORMULAS'!$O$6,'11 FORMULAS'!$P$6,""))</f>
        <v/>
      </c>
      <c r="M20" s="1"/>
      <c r="N20" s="58" t="str">
        <f>+IF(M20='11 FORMULAS'!$H$4,'11 FORMULAS'!$I$4,IF(M20='11 FORMULAS'!$H$5,'11 FORMULAS'!$I$5,""))</f>
        <v/>
      </c>
      <c r="O20" s="4"/>
      <c r="P20" s="4"/>
      <c r="Q20" s="4"/>
      <c r="R20" s="286" t="str">
        <f>+IFERROR(K20+N20,"")</f>
        <v/>
      </c>
      <c r="S20" s="286">
        <f>IF(L20='11 FORMULAS'!$P$5,S19-(S19*R20),S19)</f>
        <v>0.6</v>
      </c>
      <c r="T20" s="286">
        <f>IF(L20='11 FORMULAS'!$P$6,T19-(T19*R20),T19)</f>
        <v>0.8</v>
      </c>
      <c r="U20" s="488"/>
      <c r="V20" s="491"/>
      <c r="X20" s="282"/>
      <c r="Y20" s="283"/>
      <c r="Z20" s="283"/>
    </row>
    <row r="21" spans="1:26" ht="29.45" customHeight="1" thickBot="1" x14ac:dyDescent="0.3">
      <c r="A21" s="483"/>
      <c r="B21" s="486"/>
      <c r="C21" s="461"/>
      <c r="D21" s="464"/>
      <c r="E21" s="63">
        <v>4</v>
      </c>
      <c r="F21" s="323"/>
      <c r="G21" s="209"/>
      <c r="H21" s="209"/>
      <c r="I21" s="280" t="str">
        <f t="shared" si="0"/>
        <v xml:space="preserve">  </v>
      </c>
      <c r="J21" s="7"/>
      <c r="K21" s="59" t="str">
        <f>+IF(J21='11 FORMULAS'!$E$4,'11 FORMULAS'!$F$4,IF(J21='11 FORMULAS'!$E$5,'11 FORMULAS'!$F$5,IF(J21='11 FORMULAS'!$E$6,'11 FORMULAS'!$F$6,"")))</f>
        <v/>
      </c>
      <c r="L21" s="59" t="str">
        <f>+IF(OR(J21='11 FORMULAS'!$O$4,J21='11 FORMULAS'!$O$5),'11 FORMULAS'!$P$5,IF(J21='11 FORMULAS'!$O$6,'11 FORMULAS'!$P$6,""))</f>
        <v/>
      </c>
      <c r="M21" s="7"/>
      <c r="N21" s="59" t="str">
        <f>+IF(M21='11 FORMULAS'!$H$4,'11 FORMULAS'!$I$4,IF(M21='11 FORMULAS'!$H$5,'11 FORMULAS'!$I$5,""))</f>
        <v/>
      </c>
      <c r="O21" s="8"/>
      <c r="P21" s="8"/>
      <c r="Q21" s="8"/>
      <c r="R21" s="287" t="str">
        <f t="shared" ref="R21" si="7">+IFERROR(K21+N21,"")</f>
        <v/>
      </c>
      <c r="S21" s="287">
        <f>IF(L21='11 FORMULAS'!$P$5,S20-(S20*R21),S20)</f>
        <v>0.6</v>
      </c>
      <c r="T21" s="287">
        <f>IF(L21='11 FORMULAS'!$P$6,T20-(T20*R21),T20)</f>
        <v>0.8</v>
      </c>
      <c r="U21" s="489"/>
      <c r="V21" s="492"/>
    </row>
    <row r="22" spans="1:26" ht="29.45" customHeight="1" x14ac:dyDescent="0.25">
      <c r="A22" s="481" t="str">
        <f>'2 CONTEXTO E IDENTIFICACIÓN'!A10</f>
        <v>R5</v>
      </c>
      <c r="B22" s="484" t="str">
        <f>+'2 CONTEXTO E IDENTIFICACIÓN'!E10</f>
        <v>Posibilidad de pérdida Económica y Reputacional por condiciones de calidad de agua cruda que no permite tratabilidad y afectaciones de tipo climático debido a crecientes que generan arrastre de solidos y elevacion en los niveles de turbierdad en agua cruda</v>
      </c>
      <c r="C22" s="459">
        <f>+'3 PROBABIL E IMPACTO INHERENTE'!E12</f>
        <v>0.6</v>
      </c>
      <c r="D22" s="462">
        <f>+'3 PROBABIL E IMPACTO INHERENTE'!M12</f>
        <v>0.8</v>
      </c>
      <c r="E22" s="61">
        <v>1</v>
      </c>
      <c r="F22" s="321" t="s">
        <v>288</v>
      </c>
      <c r="G22" s="318" t="s">
        <v>317</v>
      </c>
      <c r="H22" s="318" t="s">
        <v>271</v>
      </c>
      <c r="I22" s="278" t="str">
        <f t="shared" si="0"/>
        <v>el Subgerente Técnico y Operativo es el encargado de  tomar decisiones operativas cuando hay cambios climaticos para mantener el caudal de entrada cuando se requiera</v>
      </c>
      <c r="J22" s="5"/>
      <c r="K22" s="57" t="str">
        <f>+IF(J22='11 FORMULAS'!$E$4,'11 FORMULAS'!$F$4,IF(J22='11 FORMULAS'!$E$5,'11 FORMULAS'!$F$5,IF(J22='11 FORMULAS'!$E$6,'11 FORMULAS'!$F$6,"")))</f>
        <v/>
      </c>
      <c r="L22" s="57" t="str">
        <f>+IF(OR(J22='11 FORMULAS'!$O$4,J22='11 FORMULAS'!$O$5),'11 FORMULAS'!$P$5,IF(J22='11 FORMULAS'!$O$6,'11 FORMULAS'!$P$6,""))</f>
        <v/>
      </c>
      <c r="M22" s="5"/>
      <c r="N22" s="57" t="str">
        <f>+IF(M22='11 FORMULAS'!$H$4,'11 FORMULAS'!$I$4,IF(M22='11 FORMULAS'!$H$5,'11 FORMULAS'!$I$5,""))</f>
        <v/>
      </c>
      <c r="O22" s="6"/>
      <c r="P22" s="6"/>
      <c r="Q22" s="6"/>
      <c r="R22" s="285" t="str">
        <f>+IFERROR(K22+N22,"")</f>
        <v/>
      </c>
      <c r="S22" s="285">
        <f>IF(L22='11 FORMULAS'!$P$5,C22-(C22*R22),C22)</f>
        <v>0.6</v>
      </c>
      <c r="T22" s="285">
        <f>IF(L22='11 FORMULAS'!$P$6,D22-(D22*R22),D22)</f>
        <v>0.8</v>
      </c>
      <c r="U22" s="487">
        <f>+IF(S25="","",S25)</f>
        <v>0.6</v>
      </c>
      <c r="V22" s="490">
        <f>+IF(T25="","",T25)</f>
        <v>0.8</v>
      </c>
      <c r="X22" s="282"/>
      <c r="Y22" s="283"/>
      <c r="Z22" s="283"/>
    </row>
    <row r="23" spans="1:26" ht="29.45" customHeight="1" x14ac:dyDescent="0.25">
      <c r="A23" s="482"/>
      <c r="B23" s="485"/>
      <c r="C23" s="460"/>
      <c r="D23" s="463"/>
      <c r="E23" s="62">
        <v>2</v>
      </c>
      <c r="F23" s="321" t="s">
        <v>318</v>
      </c>
      <c r="G23" s="320" t="s">
        <v>319</v>
      </c>
      <c r="H23" s="321" t="s">
        <v>274</v>
      </c>
      <c r="I23" s="279" t="str">
        <f t="shared" si="0"/>
        <v>el  Director Técnico es el encargado de coordinar las operaciones de las bocatomas y plantas de tratamiento de agua potable de manera diaria</v>
      </c>
      <c r="J23" s="1"/>
      <c r="K23" s="58" t="str">
        <f>+IF(J23='11 FORMULAS'!$E$4,'11 FORMULAS'!$F$4,IF(J23='11 FORMULAS'!$E$5,'11 FORMULAS'!$F$5,IF(J23='11 FORMULAS'!$E$6,'11 FORMULAS'!$F$6,"")))</f>
        <v/>
      </c>
      <c r="L23" s="58" t="str">
        <f>+IF(OR(J23='11 FORMULAS'!$O$4,J23='11 FORMULAS'!$O$5),'11 FORMULAS'!$P$5,IF(J23='11 FORMULAS'!$O$6,'11 FORMULAS'!$P$6,""))</f>
        <v/>
      </c>
      <c r="M23" s="1"/>
      <c r="N23" s="58" t="str">
        <f>+IF(M23='11 FORMULAS'!$H$4,'11 FORMULAS'!$I$4,IF(M23='11 FORMULAS'!$H$5,'11 FORMULAS'!$I$5,""))</f>
        <v/>
      </c>
      <c r="O23" s="4"/>
      <c r="P23" s="4"/>
      <c r="Q23" s="4"/>
      <c r="R23" s="286" t="str">
        <f t="shared" ref="R23" si="8">+IFERROR(K23+N23,"")</f>
        <v/>
      </c>
      <c r="S23" s="286">
        <f>IF(L23='11 FORMULAS'!$P$5,S22-(S22*R23),S22)</f>
        <v>0.6</v>
      </c>
      <c r="T23" s="286">
        <f>IF(L23='11 FORMULAS'!$P$6,T22-(T22*R23),T22)</f>
        <v>0.8</v>
      </c>
      <c r="U23" s="488"/>
      <c r="V23" s="491"/>
      <c r="X23" s="282"/>
      <c r="Y23" s="283"/>
      <c r="Z23" s="283"/>
    </row>
    <row r="24" spans="1:26" ht="29.45" customHeight="1" x14ac:dyDescent="0.25">
      <c r="A24" s="482"/>
      <c r="B24" s="485"/>
      <c r="C24" s="460"/>
      <c r="D24" s="463"/>
      <c r="E24" s="62">
        <v>3</v>
      </c>
      <c r="F24" s="321" t="s">
        <v>280</v>
      </c>
      <c r="G24" s="321" t="s">
        <v>314</v>
      </c>
      <c r="H24" s="321" t="s">
        <v>274</v>
      </c>
      <c r="I24" s="279" t="str">
        <f t="shared" si="0"/>
        <v>el profesional universitario UCO es el encargado de recepción y asignación de ordenes de trabajo de manera diaria</v>
      </c>
      <c r="J24" s="1"/>
      <c r="K24" s="58" t="str">
        <f>+IF(J24='11 FORMULAS'!$E$4,'11 FORMULAS'!$F$4,IF(J24='11 FORMULAS'!$E$5,'11 FORMULAS'!$F$5,IF(J24='11 FORMULAS'!$E$6,'11 FORMULAS'!$F$6,"")))</f>
        <v/>
      </c>
      <c r="L24" s="58" t="str">
        <f>+IF(OR(J24='11 FORMULAS'!$O$4,J24='11 FORMULAS'!$O$5),'11 FORMULAS'!$P$5,IF(J24='11 FORMULAS'!$O$6,'11 FORMULAS'!$P$6,""))</f>
        <v/>
      </c>
      <c r="M24" s="1"/>
      <c r="N24" s="58" t="str">
        <f>+IF(M24='11 FORMULAS'!$H$4,'11 FORMULAS'!$I$4,IF(M24='11 FORMULAS'!$H$5,'11 FORMULAS'!$I$5,""))</f>
        <v/>
      </c>
      <c r="O24" s="4"/>
      <c r="P24" s="4"/>
      <c r="Q24" s="4"/>
      <c r="R24" s="286" t="str">
        <f>+IFERROR(K24+N24,"")</f>
        <v/>
      </c>
      <c r="S24" s="286">
        <f>IF(L24='11 FORMULAS'!$P$5,S23-(S23*R24),S23)</f>
        <v>0.6</v>
      </c>
      <c r="T24" s="286">
        <f>IF(L24='11 FORMULAS'!$P$6,T23-(T23*R24),T23)</f>
        <v>0.8</v>
      </c>
      <c r="U24" s="488"/>
      <c r="V24" s="491"/>
      <c r="X24" s="282"/>
      <c r="Y24" s="283"/>
      <c r="Z24" s="283"/>
    </row>
    <row r="25" spans="1:26" ht="29.45" customHeight="1" thickBot="1" x14ac:dyDescent="0.3">
      <c r="A25" s="483"/>
      <c r="B25" s="486"/>
      <c r="C25" s="461"/>
      <c r="D25" s="464"/>
      <c r="E25" s="63">
        <v>4</v>
      </c>
      <c r="F25" s="323" t="s">
        <v>315</v>
      </c>
      <c r="G25" s="323" t="s">
        <v>316</v>
      </c>
      <c r="H25" s="323" t="s">
        <v>274</v>
      </c>
      <c r="I25" s="280" t="str">
        <f t="shared" si="0"/>
        <v>los Inspectores de acueducto son los encargados de ejecutar las ordenes de trabajo de manera diaria</v>
      </c>
      <c r="J25" s="7"/>
      <c r="K25" s="59" t="str">
        <f>+IF(J25='11 FORMULAS'!$E$4,'11 FORMULAS'!$F$4,IF(J25='11 FORMULAS'!$E$5,'11 FORMULAS'!$F$5,IF(J25='11 FORMULAS'!$E$6,'11 FORMULAS'!$F$6,"")))</f>
        <v/>
      </c>
      <c r="L25" s="59" t="str">
        <f>+IF(OR(J25='11 FORMULAS'!$O$4,J25='11 FORMULAS'!$O$5),'11 FORMULAS'!$P$5,IF(J25='11 FORMULAS'!$O$6,'11 FORMULAS'!$P$6,""))</f>
        <v/>
      </c>
      <c r="M25" s="7"/>
      <c r="N25" s="59" t="str">
        <f>+IF(M25='11 FORMULAS'!$H$4,'11 FORMULAS'!$I$4,IF(M25='11 FORMULAS'!$H$5,'11 FORMULAS'!$I$5,""))</f>
        <v/>
      </c>
      <c r="O25" s="8"/>
      <c r="P25" s="8"/>
      <c r="Q25" s="8"/>
      <c r="R25" s="287" t="str">
        <f t="shared" ref="R25" si="9">+IFERROR(K25+N25,"")</f>
        <v/>
      </c>
      <c r="S25" s="287">
        <f>IF(L25='11 FORMULAS'!$P$5,S24-(S24*R25),S24)</f>
        <v>0.6</v>
      </c>
      <c r="T25" s="287">
        <f>IF(L25='11 FORMULAS'!$P$6,T24-(T24*R25),T24)</f>
        <v>0.8</v>
      </c>
      <c r="U25" s="489"/>
      <c r="V25" s="492"/>
    </row>
    <row r="26" spans="1:26" ht="29.45" customHeight="1" x14ac:dyDescent="0.25">
      <c r="A26" s="481" t="str">
        <f>'2 CONTEXTO E IDENTIFICACIÓN'!A11</f>
        <v>R6</v>
      </c>
      <c r="B26" s="484" t="str">
        <f>+'2 CONTEXTO E IDENTIFICACIÓN'!E11</f>
        <v>Posibilidad de pérdida Económica y Reputacional por el aumento en el índice de agua no contabilizada por pérdidas técnicas  debido a la infraestructura de produccion ,almacenameinto y distribucion en condiciones inadecuadas,  y la reparación inoportuna de fugas y daños en las redes de acueducto.</v>
      </c>
      <c r="C26" s="459">
        <f>+'3 PROBABIL E IMPACTO INHERENTE'!E13</f>
        <v>0.6</v>
      </c>
      <c r="D26" s="462">
        <f>+'3 PROBABIL E IMPACTO INHERENTE'!M13</f>
        <v>0.8</v>
      </c>
      <c r="E26" s="61">
        <v>1</v>
      </c>
      <c r="F26" s="321" t="s">
        <v>326</v>
      </c>
      <c r="G26" s="318" t="s">
        <v>311</v>
      </c>
      <c r="H26" s="318" t="s">
        <v>271</v>
      </c>
      <c r="I26" s="278" t="str">
        <f t="shared" si="0"/>
        <v>| asignación de recursos para contratación de personal cuando se requiera</v>
      </c>
      <c r="J26" s="5"/>
      <c r="K26" s="57" t="str">
        <f>+IF(J26='11 FORMULAS'!$E$4,'11 FORMULAS'!$F$4,IF(J26='11 FORMULAS'!$E$5,'11 FORMULAS'!$F$5,IF(J26='11 FORMULAS'!$E$6,'11 FORMULAS'!$F$6,"")))</f>
        <v/>
      </c>
      <c r="L26" s="57" t="str">
        <f>+IF(OR(J26='11 FORMULAS'!$O$4,J26='11 FORMULAS'!$O$5),'11 FORMULAS'!$P$5,IF(J26='11 FORMULAS'!$O$6,'11 FORMULAS'!$P$6,""))</f>
        <v/>
      </c>
      <c r="M26" s="5"/>
      <c r="N26" s="57" t="str">
        <f>+IF(M26='11 FORMULAS'!$H$4,'11 FORMULAS'!$I$4,IF(M26='11 FORMULAS'!$H$5,'11 FORMULAS'!$I$5,""))</f>
        <v/>
      </c>
      <c r="O26" s="6"/>
      <c r="P26" s="6"/>
      <c r="Q26" s="6"/>
      <c r="R26" s="285" t="str">
        <f>+IFERROR(K26+N26,"")</f>
        <v/>
      </c>
      <c r="S26" s="285">
        <f>IF(L26='11 FORMULAS'!$P$5,C26-(C26*R26),C26)</f>
        <v>0.6</v>
      </c>
      <c r="T26" s="285">
        <f>IF(L26='11 FORMULAS'!$P$6,D26-(D26*R26),D26)</f>
        <v>0.8</v>
      </c>
      <c r="U26" s="487">
        <f>+IF(S29="","",S29)</f>
        <v>0.6</v>
      </c>
      <c r="V26" s="490">
        <f>+IF(T29="","",T29)</f>
        <v>0.8</v>
      </c>
      <c r="X26" s="282"/>
      <c r="Y26" s="283"/>
      <c r="Z26" s="283"/>
    </row>
    <row r="27" spans="1:26" ht="29.45" customHeight="1" x14ac:dyDescent="0.25">
      <c r="A27" s="482"/>
      <c r="B27" s="485"/>
      <c r="C27" s="460"/>
      <c r="D27" s="463"/>
      <c r="E27" s="62">
        <v>2</v>
      </c>
      <c r="F27" s="321" t="s">
        <v>312</v>
      </c>
      <c r="G27" s="320" t="s">
        <v>313</v>
      </c>
      <c r="H27" s="321" t="s">
        <v>274</v>
      </c>
      <c r="I27" s="279" t="str">
        <f t="shared" si="0"/>
        <v>el Subgerente Técnico es el encargado de  tomar decisiones administrativas de manera diaria</v>
      </c>
      <c r="J27" s="1"/>
      <c r="K27" s="58" t="str">
        <f>+IF(J27='11 FORMULAS'!$E$4,'11 FORMULAS'!$F$4,IF(J27='11 FORMULAS'!$E$5,'11 FORMULAS'!$F$5,IF(J27='11 FORMULAS'!$E$6,'11 FORMULAS'!$F$6,"")))</f>
        <v/>
      </c>
      <c r="L27" s="58" t="str">
        <f>+IF(OR(J27='11 FORMULAS'!$O$4,J27='11 FORMULAS'!$O$5),'11 FORMULAS'!$P$5,IF(J27='11 FORMULAS'!$O$6,'11 FORMULAS'!$P$6,""))</f>
        <v/>
      </c>
      <c r="M27" s="1"/>
      <c r="N27" s="58" t="str">
        <f>+IF(M27='11 FORMULAS'!$H$4,'11 FORMULAS'!$I$4,IF(M27='11 FORMULAS'!$H$5,'11 FORMULAS'!$I$5,""))</f>
        <v/>
      </c>
      <c r="O27" s="4"/>
      <c r="P27" s="4"/>
      <c r="Q27" s="4"/>
      <c r="R27" s="286" t="str">
        <f t="shared" ref="R27" si="10">+IFERROR(K27+N27,"")</f>
        <v/>
      </c>
      <c r="S27" s="286">
        <f>IF(L27='11 FORMULAS'!$P$5,S26-(S26*R27),S26)</f>
        <v>0.6</v>
      </c>
      <c r="T27" s="286">
        <f>IF(L27='11 FORMULAS'!$P$6,T26-(T26*R27),T26)</f>
        <v>0.8</v>
      </c>
      <c r="U27" s="488"/>
      <c r="V27" s="491"/>
      <c r="X27" s="282"/>
      <c r="Y27" s="283"/>
      <c r="Z27" s="283"/>
    </row>
    <row r="28" spans="1:26" ht="29.45" customHeight="1" x14ac:dyDescent="0.25">
      <c r="A28" s="482"/>
      <c r="B28" s="485"/>
      <c r="C28" s="460"/>
      <c r="D28" s="463"/>
      <c r="E28" s="62">
        <v>3</v>
      </c>
      <c r="F28" s="321" t="s">
        <v>280</v>
      </c>
      <c r="G28" s="321" t="s">
        <v>314</v>
      </c>
      <c r="H28" s="321" t="s">
        <v>274</v>
      </c>
      <c r="I28" s="279" t="str">
        <f t="shared" si="0"/>
        <v>el profesional universitario UCO es el encargado de recepción y asignación de ordenes de trabajo de manera diaria</v>
      </c>
      <c r="J28" s="1"/>
      <c r="K28" s="58" t="str">
        <f>+IF(J28='11 FORMULAS'!$E$4,'11 FORMULAS'!$F$4,IF(J28='11 FORMULAS'!$E$5,'11 FORMULAS'!$F$5,IF(J28='11 FORMULAS'!$E$6,'11 FORMULAS'!$F$6,"")))</f>
        <v/>
      </c>
      <c r="L28" s="58" t="str">
        <f>+IF(OR(J28='11 FORMULAS'!$O$4,J28='11 FORMULAS'!$O$5),'11 FORMULAS'!$P$5,IF(J28='11 FORMULAS'!$O$6,'11 FORMULAS'!$P$6,""))</f>
        <v/>
      </c>
      <c r="M28" s="1"/>
      <c r="N28" s="58" t="str">
        <f>+IF(M28='11 FORMULAS'!$H$4,'11 FORMULAS'!$I$4,IF(M28='11 FORMULAS'!$H$5,'11 FORMULAS'!$I$5,""))</f>
        <v/>
      </c>
      <c r="O28" s="4"/>
      <c r="P28" s="4"/>
      <c r="Q28" s="4"/>
      <c r="R28" s="286" t="str">
        <f>+IFERROR(K28+N28,"")</f>
        <v/>
      </c>
      <c r="S28" s="286">
        <f>IF(L28='11 FORMULAS'!$P$5,S27-(S27*R28),S27)</f>
        <v>0.6</v>
      </c>
      <c r="T28" s="286">
        <f>IF(L28='11 FORMULAS'!$P$6,T27-(T27*R28),T27)</f>
        <v>0.8</v>
      </c>
      <c r="U28" s="488"/>
      <c r="V28" s="491"/>
      <c r="X28" s="282"/>
      <c r="Y28" s="283"/>
      <c r="Z28" s="283"/>
    </row>
    <row r="29" spans="1:26" ht="29.45" customHeight="1" thickBot="1" x14ac:dyDescent="0.3">
      <c r="A29" s="483"/>
      <c r="B29" s="486"/>
      <c r="C29" s="461"/>
      <c r="D29" s="464"/>
      <c r="E29" s="63">
        <v>4</v>
      </c>
      <c r="F29" s="323" t="s">
        <v>315</v>
      </c>
      <c r="G29" s="323" t="s">
        <v>316</v>
      </c>
      <c r="H29" s="323" t="s">
        <v>274</v>
      </c>
      <c r="I29" s="280" t="str">
        <f t="shared" si="0"/>
        <v>los Inspectores de acueducto son los encargados de ejecutar las ordenes de trabajo de manera diaria</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87" t="str">
        <f t="shared" ref="R29" si="11">+IFERROR(K29+N29,"")</f>
        <v/>
      </c>
      <c r="S29" s="287">
        <f>IF(L29='11 FORMULAS'!$P$5,S28-(S28*R29),S28)</f>
        <v>0.6</v>
      </c>
      <c r="T29" s="287">
        <f>IF(L29='11 FORMULAS'!$P$6,T28-(T28*R29),T28)</f>
        <v>0.8</v>
      </c>
      <c r="U29" s="489"/>
      <c r="V29" s="492"/>
    </row>
    <row r="30" spans="1:26" ht="29.45" customHeight="1" x14ac:dyDescent="0.25">
      <c r="A30" s="481" t="str">
        <f>'2 CONTEXTO E IDENTIFICACIÓN'!A12</f>
        <v>R7</v>
      </c>
      <c r="B30" s="484" t="str">
        <f>+'2 CONTEXTO E IDENTIFICACIÓN'!E12</f>
        <v>Posibilidad de pérdida Económica y Reputacional por la atención inoportuna de las solicitudes de reparación de acueducto debido a la falta de seguimiento a las ordenes de trabajo generadas, falta de personal operativo para los grupos de trabajo y falta de asignación de recursos o de disponibilidad de materiales.</v>
      </c>
      <c r="C30" s="459">
        <f>+'3 PROBABIL E IMPACTO INHERENTE'!E15</f>
        <v>0.6</v>
      </c>
      <c r="D30" s="462">
        <f>+'3 PROBABIL E IMPACTO INHERENTE'!M15</f>
        <v>0.6</v>
      </c>
      <c r="E30" s="61">
        <v>1</v>
      </c>
      <c r="F30" s="321" t="s">
        <v>288</v>
      </c>
      <c r="G30" s="318" t="s">
        <v>272</v>
      </c>
      <c r="H30" s="318" t="s">
        <v>273</v>
      </c>
      <c r="I30" s="278" t="str">
        <f t="shared" ref="I30:I61" si="12">+CONCATENATE(F30," ",G30," ",H30)</f>
        <v>el Subgerente Técnico y Operativo es el encargado de  tomar decisiones operativas de manera diairia</v>
      </c>
      <c r="J30" s="5"/>
      <c r="K30" s="57" t="str">
        <f>+IF(J30='11 FORMULAS'!$E$4,'11 FORMULAS'!$F$4,IF(J30='11 FORMULAS'!$E$5,'11 FORMULAS'!$F$5,IF(J30='11 FORMULAS'!$E$6,'11 FORMULAS'!$F$6,"")))</f>
        <v/>
      </c>
      <c r="L30" s="57" t="str">
        <f>+IF(OR(J30='11 FORMULAS'!$O$4,J30='11 FORMULAS'!$O$5),'11 FORMULAS'!$P$5,IF(J30='11 FORMULAS'!$O$6,'11 FORMULAS'!$P$6,""))</f>
        <v/>
      </c>
      <c r="M30" s="5"/>
      <c r="N30" s="57" t="str">
        <f>+IF(M30='11 FORMULAS'!$H$4,'11 FORMULAS'!$I$4,IF(M30='11 FORMULAS'!$H$5,'11 FORMULAS'!$I$5,""))</f>
        <v/>
      </c>
      <c r="O30" s="6"/>
      <c r="P30" s="6"/>
      <c r="Q30" s="6"/>
      <c r="R30" s="285" t="str">
        <f>+IFERROR(K30+N30,"")</f>
        <v/>
      </c>
      <c r="S30" s="285">
        <f>IF(L30='11 FORMULAS'!$P$5,C30-(C30*R30),C30)</f>
        <v>0.6</v>
      </c>
      <c r="T30" s="285">
        <f>IF(L30='11 FORMULAS'!$P$6,D30-(D30*R30),D30)</f>
        <v>0.6</v>
      </c>
      <c r="U30" s="487">
        <f>+IF(S33="","",S33)</f>
        <v>0.6</v>
      </c>
      <c r="V30" s="490">
        <f>+IF(T33="","",T33)</f>
        <v>0.6</v>
      </c>
      <c r="X30" s="282"/>
      <c r="Y30" s="283"/>
      <c r="Z30" s="283"/>
    </row>
    <row r="31" spans="1:26" ht="29.45" customHeight="1" x14ac:dyDescent="0.25">
      <c r="A31" s="482"/>
      <c r="B31" s="485"/>
      <c r="C31" s="460"/>
      <c r="D31" s="463"/>
      <c r="E31" s="62">
        <v>2</v>
      </c>
      <c r="F31" s="321" t="s">
        <v>291</v>
      </c>
      <c r="G31" s="320" t="s">
        <v>289</v>
      </c>
      <c r="H31" s="320" t="s">
        <v>274</v>
      </c>
      <c r="I31" s="279" t="str">
        <f t="shared" si="12"/>
        <v>el Director tecnico que es el encargado de  controlar la ejecución de las ordenes de trabajo de manera diaria</v>
      </c>
      <c r="J31" s="1"/>
      <c r="K31" s="58" t="str">
        <f>+IF(J31='11 FORMULAS'!$E$4,'11 FORMULAS'!$F$4,IF(J31='11 FORMULAS'!$E$5,'11 FORMULAS'!$F$5,IF(J31='11 FORMULAS'!$E$6,'11 FORMULAS'!$F$6,"")))</f>
        <v/>
      </c>
      <c r="L31" s="58" t="str">
        <f>+IF(OR(J31='11 FORMULAS'!$O$4,J31='11 FORMULAS'!$O$5),'11 FORMULAS'!$P$5,IF(J31='11 FORMULAS'!$O$6,'11 FORMULAS'!$P$6,""))</f>
        <v/>
      </c>
      <c r="M31" s="1"/>
      <c r="N31" s="58" t="str">
        <f>+IF(M31='11 FORMULAS'!$H$4,'11 FORMULAS'!$I$4,IF(M31='11 FORMULAS'!$H$5,'11 FORMULAS'!$I$5,""))</f>
        <v/>
      </c>
      <c r="O31" s="4"/>
      <c r="P31" s="4"/>
      <c r="Q31" s="4"/>
      <c r="R31" s="286" t="str">
        <f t="shared" ref="R31" si="13">+IFERROR(K31+N31,"")</f>
        <v/>
      </c>
      <c r="S31" s="286">
        <f>IF(L31='11 FORMULAS'!$P$5,S30-(S30*R31),S30)</f>
        <v>0.6</v>
      </c>
      <c r="T31" s="286">
        <f>IF(L31='11 FORMULAS'!$P$6,T30-(T30*R31),T30)</f>
        <v>0.6</v>
      </c>
      <c r="U31" s="488"/>
      <c r="V31" s="491"/>
      <c r="X31" s="282"/>
      <c r="Y31" s="283"/>
      <c r="Z31" s="283"/>
    </row>
    <row r="32" spans="1:26" ht="29.45" customHeight="1" x14ac:dyDescent="0.25">
      <c r="A32" s="482"/>
      <c r="B32" s="485"/>
      <c r="C32" s="460"/>
      <c r="D32" s="463"/>
      <c r="E32" s="62">
        <v>3</v>
      </c>
      <c r="F32" s="321" t="s">
        <v>294</v>
      </c>
      <c r="G32" s="321" t="s">
        <v>281</v>
      </c>
      <c r="H32" s="321" t="s">
        <v>274</v>
      </c>
      <c r="I32" s="279" t="str">
        <f t="shared" si="12"/>
        <v>el Profesional universitario UCO es el encargado de recepcionar y asignar ordenes de trabajo de manera diaria</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86" t="str">
        <f>+IFERROR(K32+N32,"")</f>
        <v/>
      </c>
      <c r="S32" s="286">
        <f>IF(L32='11 FORMULAS'!$P$5,S31-(S31*R32),S31)</f>
        <v>0.6</v>
      </c>
      <c r="T32" s="286">
        <f>IF(L32='11 FORMULAS'!$P$6,T31-(T31*R32),T31)</f>
        <v>0.6</v>
      </c>
      <c r="U32" s="488"/>
      <c r="V32" s="491"/>
      <c r="X32" s="282"/>
      <c r="Y32" s="283"/>
      <c r="Z32" s="283"/>
    </row>
    <row r="33" spans="1:26" ht="29.45" customHeight="1" thickBot="1" x14ac:dyDescent="0.3">
      <c r="A33" s="483"/>
      <c r="B33" s="486"/>
      <c r="C33" s="461"/>
      <c r="D33" s="464"/>
      <c r="E33" s="63">
        <v>4</v>
      </c>
      <c r="F33" s="323" t="s">
        <v>309</v>
      </c>
      <c r="G33" s="323" t="s">
        <v>283</v>
      </c>
      <c r="H33" s="321" t="s">
        <v>274</v>
      </c>
      <c r="I33" s="280" t="str">
        <f t="shared" si="12"/>
        <v>el Inspector de acueducto es el encargado de ejecutar la atención de las ordenes de trabajo  de manera diaria</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87" t="str">
        <f t="shared" ref="R33" si="14">+IFERROR(K33+N33,"")</f>
        <v/>
      </c>
      <c r="S33" s="287">
        <f>IF(L33='11 FORMULAS'!$P$5,S32-(S32*R33),S32)</f>
        <v>0.6</v>
      </c>
      <c r="T33" s="287">
        <f>IF(L33='11 FORMULAS'!$P$6,T32-(T32*R33),T32)</f>
        <v>0.6</v>
      </c>
      <c r="U33" s="489"/>
      <c r="V33" s="492"/>
    </row>
    <row r="34" spans="1:26" ht="29.45" customHeight="1" x14ac:dyDescent="0.25">
      <c r="A34" s="481" t="str">
        <f>'2 CONTEXTO E IDENTIFICACIÓN'!A13</f>
        <v>R10</v>
      </c>
      <c r="B34" s="484" t="str">
        <f>+'2 CONTEXTO E IDENTIFICACIÓN'!E13</f>
        <v xml:space="preserve">  </v>
      </c>
      <c r="C34" s="459" t="str">
        <f>+'3 PROBABIL E IMPACTO INHERENTE'!E16</f>
        <v/>
      </c>
      <c r="D34" s="462" t="str">
        <f>+'3 PROBABIL E IMPACTO INHERENTE'!M16</f>
        <v/>
      </c>
      <c r="E34" s="61">
        <v>1</v>
      </c>
      <c r="F34" s="318"/>
      <c r="G34" s="64"/>
      <c r="H34" s="64"/>
      <c r="I34" s="278" t="str">
        <f t="shared" si="12"/>
        <v xml:space="preserve">  </v>
      </c>
      <c r="J34" s="5"/>
      <c r="K34" s="57" t="str">
        <f>+IF(J34='11 FORMULAS'!$E$4,'11 FORMULAS'!$F$4,IF(J34='11 FORMULAS'!$E$5,'11 FORMULAS'!$F$5,IF(J34='11 FORMULAS'!$E$6,'11 FORMULAS'!$F$6,"")))</f>
        <v/>
      </c>
      <c r="L34" s="57" t="str">
        <f>+IF(OR(J34='11 FORMULAS'!$O$4,J34='11 FORMULAS'!$O$5),'11 FORMULAS'!$P$5,IF(J34='11 FORMULAS'!$O$6,'11 FORMULAS'!$P$6,""))</f>
        <v/>
      </c>
      <c r="M34" s="5"/>
      <c r="N34" s="57" t="str">
        <f>+IF(M34='11 FORMULAS'!$H$4,'11 FORMULAS'!$I$4,IF(M34='11 FORMULAS'!$H$5,'11 FORMULAS'!$I$5,""))</f>
        <v/>
      </c>
      <c r="O34" s="6"/>
      <c r="P34" s="6"/>
      <c r="Q34" s="6"/>
      <c r="R34" s="285" t="str">
        <f>+IFERROR(K34+N34,"")</f>
        <v/>
      </c>
      <c r="S34" s="285" t="str">
        <f>IF(L34='11 FORMULAS'!$P$5,C34-(C34*R34),C34)</f>
        <v/>
      </c>
      <c r="T34" s="285" t="str">
        <f>IF(L34='11 FORMULAS'!$P$6,D34-(D34*R34),D34)</f>
        <v/>
      </c>
      <c r="U34" s="487" t="str">
        <f>+IF(S37="","",S37)</f>
        <v/>
      </c>
      <c r="V34" s="490" t="str">
        <f>+IF(T37="","",T37)</f>
        <v/>
      </c>
      <c r="X34" s="282"/>
      <c r="Y34" s="283"/>
      <c r="Z34" s="283"/>
    </row>
    <row r="35" spans="1:26" ht="29.45" customHeight="1" x14ac:dyDescent="0.25">
      <c r="A35" s="482"/>
      <c r="B35" s="485"/>
      <c r="C35" s="460"/>
      <c r="D35" s="463"/>
      <c r="E35" s="62">
        <v>2</v>
      </c>
      <c r="F35" s="321"/>
      <c r="G35" s="208"/>
      <c r="H35" s="208"/>
      <c r="I35" s="279" t="str">
        <f t="shared" si="12"/>
        <v xml:space="preserve">  </v>
      </c>
      <c r="J35" s="1"/>
      <c r="K35" s="58" t="str">
        <f>+IF(J35='11 FORMULAS'!$E$4,'11 FORMULAS'!$F$4,IF(J35='11 FORMULAS'!$E$5,'11 FORMULAS'!$F$5,IF(J35='11 FORMULAS'!$E$6,'11 FORMULAS'!$F$6,"")))</f>
        <v/>
      </c>
      <c r="L35" s="58" t="str">
        <f>+IF(OR(J35='11 FORMULAS'!$O$4,J35='11 FORMULAS'!$O$5),'11 FORMULAS'!$P$5,IF(J35='11 FORMULAS'!$O$6,'11 FORMULAS'!$P$6,""))</f>
        <v/>
      </c>
      <c r="M35" s="1"/>
      <c r="N35" s="58" t="str">
        <f>+IF(M35='11 FORMULAS'!$H$4,'11 FORMULAS'!$I$4,IF(M35='11 FORMULAS'!$H$5,'11 FORMULAS'!$I$5,""))</f>
        <v/>
      </c>
      <c r="O35" s="4"/>
      <c r="P35" s="4"/>
      <c r="Q35" s="4"/>
      <c r="R35" s="286" t="str">
        <f t="shared" ref="R35" si="15">+IFERROR(K35+N35,"")</f>
        <v/>
      </c>
      <c r="S35" s="286" t="str">
        <f>IF(L35='11 FORMULAS'!$P$5,S34-(S34*R35),S34)</f>
        <v/>
      </c>
      <c r="T35" s="286" t="str">
        <f>IF(L35='11 FORMULAS'!$P$6,T34-(T34*R35),T34)</f>
        <v/>
      </c>
      <c r="U35" s="488"/>
      <c r="V35" s="491"/>
      <c r="X35" s="282"/>
      <c r="Y35" s="283"/>
      <c r="Z35" s="283"/>
    </row>
    <row r="36" spans="1:26" ht="29.45" customHeight="1" x14ac:dyDescent="0.25">
      <c r="A36" s="482"/>
      <c r="B36" s="485"/>
      <c r="C36" s="460"/>
      <c r="D36" s="463"/>
      <c r="E36" s="62">
        <v>3</v>
      </c>
      <c r="F36" s="321"/>
      <c r="G36" s="208"/>
      <c r="H36" s="208"/>
      <c r="I36" s="279" t="str">
        <f t="shared" si="12"/>
        <v xml:space="preserve">  </v>
      </c>
      <c r="J36" s="1"/>
      <c r="K36" s="58" t="str">
        <f>+IF(J36='11 FORMULAS'!$E$4,'11 FORMULAS'!$F$4,IF(J36='11 FORMULAS'!$E$5,'11 FORMULAS'!$F$5,IF(J36='11 FORMULAS'!$E$6,'11 FORMULAS'!$F$6,"")))</f>
        <v/>
      </c>
      <c r="L36" s="58" t="str">
        <f>+IF(OR(J36='11 FORMULAS'!$O$4,J36='11 FORMULAS'!$O$5),'11 FORMULAS'!$P$5,IF(J36='11 FORMULAS'!$O$6,'11 FORMULAS'!$P$6,""))</f>
        <v/>
      </c>
      <c r="M36" s="1"/>
      <c r="N36" s="58" t="str">
        <f>+IF(M36='11 FORMULAS'!$H$4,'11 FORMULAS'!$I$4,IF(M36='11 FORMULAS'!$H$5,'11 FORMULAS'!$I$5,""))</f>
        <v/>
      </c>
      <c r="O36" s="4"/>
      <c r="P36" s="4"/>
      <c r="Q36" s="4"/>
      <c r="R36" s="286" t="str">
        <f>+IFERROR(K36+N36,"")</f>
        <v/>
      </c>
      <c r="S36" s="286" t="str">
        <f>IF(L36='11 FORMULAS'!$P$5,S35-(S35*R36),S35)</f>
        <v/>
      </c>
      <c r="T36" s="286" t="str">
        <f>IF(L36='11 FORMULAS'!$P$6,T35-(T35*R36),T35)</f>
        <v/>
      </c>
      <c r="U36" s="488"/>
      <c r="V36" s="491"/>
      <c r="X36" s="282"/>
      <c r="Y36" s="283"/>
      <c r="Z36" s="283"/>
    </row>
    <row r="37" spans="1:26" ht="29.45" customHeight="1" thickBot="1" x14ac:dyDescent="0.3">
      <c r="A37" s="483"/>
      <c r="B37" s="486"/>
      <c r="C37" s="461"/>
      <c r="D37" s="464"/>
      <c r="E37" s="63">
        <v>4</v>
      </c>
      <c r="F37" s="323"/>
      <c r="G37" s="209"/>
      <c r="H37" s="209"/>
      <c r="I37" s="280" t="str">
        <f t="shared" si="12"/>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87" t="str">
        <f t="shared" ref="R37" si="16">+IFERROR(K37+N37,"")</f>
        <v/>
      </c>
      <c r="S37" s="287" t="str">
        <f>IF(L37='11 FORMULAS'!$P$5,S36-(S36*R37),S36)</f>
        <v/>
      </c>
      <c r="T37" s="287" t="str">
        <f>IF(L37='11 FORMULAS'!$P$6,T36-(T36*R37),T36)</f>
        <v/>
      </c>
      <c r="U37" s="489"/>
      <c r="V37" s="492"/>
    </row>
    <row r="38" spans="1:26" ht="29.45" customHeight="1" x14ac:dyDescent="0.25">
      <c r="A38" s="481" t="str">
        <f>'2 CONTEXTO E IDENTIFICACIÓN'!A14</f>
        <v>R11</v>
      </c>
      <c r="B38" s="484" t="str">
        <f>+'2 CONTEXTO E IDENTIFICACIÓN'!E14</f>
        <v xml:space="preserve">  </v>
      </c>
      <c r="C38" s="459" t="str">
        <f>+'3 PROBABIL E IMPACTO INHERENTE'!E17</f>
        <v/>
      </c>
      <c r="D38" s="462" t="str">
        <f>+'3 PROBABIL E IMPACTO INHERENTE'!M17</f>
        <v/>
      </c>
      <c r="E38" s="61">
        <v>1</v>
      </c>
      <c r="F38" s="318"/>
      <c r="G38" s="64"/>
      <c r="H38" s="64"/>
      <c r="I38" s="278" t="str">
        <f t="shared" si="12"/>
        <v xml:space="preserve">  </v>
      </c>
      <c r="J38" s="5"/>
      <c r="K38" s="57" t="str">
        <f>+IF(J38='11 FORMULAS'!$E$4,'11 FORMULAS'!$F$4,IF(J38='11 FORMULAS'!$E$5,'11 FORMULAS'!$F$5,IF(J38='11 FORMULAS'!$E$6,'11 FORMULAS'!$F$6,"")))</f>
        <v/>
      </c>
      <c r="L38" s="57" t="str">
        <f>+IF(OR(J38='11 FORMULAS'!$O$4,J38='11 FORMULAS'!$O$5),'11 FORMULAS'!$P$5,IF(J38='11 FORMULAS'!$O$6,'11 FORMULAS'!$P$6,""))</f>
        <v/>
      </c>
      <c r="M38" s="5"/>
      <c r="N38" s="57" t="str">
        <f>+IF(M38='11 FORMULAS'!$H$4,'11 FORMULAS'!$I$4,IF(M38='11 FORMULAS'!$H$5,'11 FORMULAS'!$I$5,""))</f>
        <v/>
      </c>
      <c r="O38" s="6"/>
      <c r="P38" s="6"/>
      <c r="Q38" s="6"/>
      <c r="R38" s="285" t="str">
        <f>+IFERROR(K38+N38,"")</f>
        <v/>
      </c>
      <c r="S38" s="285" t="str">
        <f>IF(L38='11 FORMULAS'!$P$5,C38-(C38*R38),C38)</f>
        <v/>
      </c>
      <c r="T38" s="285" t="str">
        <f>IF(L38='11 FORMULAS'!$P$6,D38-(D38*R38),D38)</f>
        <v/>
      </c>
      <c r="U38" s="487" t="str">
        <f>+IF(S41="","",S41)</f>
        <v/>
      </c>
      <c r="V38" s="490" t="str">
        <f>+IF(T41="","",T41)</f>
        <v/>
      </c>
      <c r="X38" s="282"/>
      <c r="Y38" s="283"/>
      <c r="Z38" s="283"/>
    </row>
    <row r="39" spans="1:26" ht="29.45" customHeight="1" x14ac:dyDescent="0.25">
      <c r="A39" s="482"/>
      <c r="B39" s="485"/>
      <c r="C39" s="460"/>
      <c r="D39" s="463"/>
      <c r="E39" s="62">
        <v>2</v>
      </c>
      <c r="F39" s="321"/>
      <c r="G39" s="208"/>
      <c r="H39" s="208"/>
      <c r="I39" s="279" t="str">
        <f t="shared" si="12"/>
        <v xml:space="preserve">  </v>
      </c>
      <c r="J39" s="1"/>
      <c r="K39" s="58" t="str">
        <f>+IF(J39='11 FORMULAS'!$E$4,'11 FORMULAS'!$F$4,IF(J39='11 FORMULAS'!$E$5,'11 FORMULAS'!$F$5,IF(J39='11 FORMULAS'!$E$6,'11 FORMULAS'!$F$6,"")))</f>
        <v/>
      </c>
      <c r="L39" s="58" t="str">
        <f>+IF(OR(J39='11 FORMULAS'!$O$4,J39='11 FORMULAS'!$O$5),'11 FORMULAS'!$P$5,IF(J39='11 FORMULAS'!$O$6,'11 FORMULAS'!$P$6,""))</f>
        <v/>
      </c>
      <c r="M39" s="1"/>
      <c r="N39" s="58" t="str">
        <f>+IF(M39='11 FORMULAS'!$H$4,'11 FORMULAS'!$I$4,IF(M39='11 FORMULAS'!$H$5,'11 FORMULAS'!$I$5,""))</f>
        <v/>
      </c>
      <c r="O39" s="4"/>
      <c r="P39" s="4"/>
      <c r="Q39" s="4"/>
      <c r="R39" s="286" t="str">
        <f t="shared" ref="R39" si="17">+IFERROR(K39+N39,"")</f>
        <v/>
      </c>
      <c r="S39" s="286" t="str">
        <f>IF(L39='11 FORMULAS'!$P$5,S38-(S38*R39),S38)</f>
        <v/>
      </c>
      <c r="T39" s="286" t="str">
        <f>IF(L39='11 FORMULAS'!$P$6,T38-(T38*R39),T38)</f>
        <v/>
      </c>
      <c r="U39" s="488"/>
      <c r="V39" s="491"/>
      <c r="X39" s="282"/>
      <c r="Y39" s="283"/>
      <c r="Z39" s="283"/>
    </row>
    <row r="40" spans="1:26" ht="29.45" customHeight="1" x14ac:dyDescent="0.25">
      <c r="A40" s="482"/>
      <c r="B40" s="485"/>
      <c r="C40" s="460"/>
      <c r="D40" s="463"/>
      <c r="E40" s="62">
        <v>3</v>
      </c>
      <c r="F40" s="321"/>
      <c r="G40" s="208"/>
      <c r="H40" s="208"/>
      <c r="I40" s="279" t="str">
        <f t="shared" si="12"/>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86" t="str">
        <f>+IFERROR(K40+N40,"")</f>
        <v/>
      </c>
      <c r="S40" s="286" t="str">
        <f>IF(L40='11 FORMULAS'!$P$5,S39-(S39*R40),S39)</f>
        <v/>
      </c>
      <c r="T40" s="286" t="str">
        <f>IF(L40='11 FORMULAS'!$P$6,T39-(T39*R40),T39)</f>
        <v/>
      </c>
      <c r="U40" s="488"/>
      <c r="V40" s="491"/>
      <c r="X40" s="282"/>
      <c r="Y40" s="283"/>
      <c r="Z40" s="283"/>
    </row>
    <row r="41" spans="1:26" ht="29.45" customHeight="1" thickBot="1" x14ac:dyDescent="0.3">
      <c r="A41" s="483"/>
      <c r="B41" s="486"/>
      <c r="C41" s="461"/>
      <c r="D41" s="464"/>
      <c r="E41" s="63">
        <v>4</v>
      </c>
      <c r="F41" s="323"/>
      <c r="G41" s="209"/>
      <c r="H41" s="209"/>
      <c r="I41" s="280" t="str">
        <f t="shared" si="12"/>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87" t="str">
        <f t="shared" ref="R41" si="18">+IFERROR(K41+N41,"")</f>
        <v/>
      </c>
      <c r="S41" s="287" t="str">
        <f>IF(L41='11 FORMULAS'!$P$5,S40-(S40*R41),S40)</f>
        <v/>
      </c>
      <c r="T41" s="287" t="str">
        <f>IF(L41='11 FORMULAS'!$P$6,T40-(T40*R41),T40)</f>
        <v/>
      </c>
      <c r="U41" s="489"/>
      <c r="V41" s="492"/>
    </row>
    <row r="42" spans="1:26" ht="29.45" customHeight="1" x14ac:dyDescent="0.25">
      <c r="A42" s="481" t="str">
        <f>'2 CONTEXTO E IDENTIFICACIÓN'!A15</f>
        <v>R12</v>
      </c>
      <c r="B42" s="484" t="str">
        <f>+'2 CONTEXTO E IDENTIFICACIÓN'!E15</f>
        <v xml:space="preserve">  </v>
      </c>
      <c r="C42" s="459" t="str">
        <f>+'3 PROBABIL E IMPACTO INHERENTE'!E18</f>
        <v/>
      </c>
      <c r="D42" s="462" t="str">
        <f>+'3 PROBABIL E IMPACTO INHERENTE'!M18</f>
        <v/>
      </c>
      <c r="E42" s="61">
        <v>1</v>
      </c>
      <c r="F42" s="318"/>
      <c r="G42" s="64"/>
      <c r="H42" s="64"/>
      <c r="I42" s="278" t="str">
        <f t="shared" si="12"/>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85" t="str">
        <f>+IFERROR(K42+N42,"")</f>
        <v/>
      </c>
      <c r="S42" s="285" t="str">
        <f>IF(L42='11 FORMULAS'!$P$5,C42-(C42*R42),C42)</f>
        <v/>
      </c>
      <c r="T42" s="285" t="str">
        <f>IF(L42='11 FORMULAS'!$P$6,D42-(D42*R42),D42)</f>
        <v/>
      </c>
      <c r="U42" s="487" t="str">
        <f>+IF(S45="","",S45)</f>
        <v/>
      </c>
      <c r="V42" s="490" t="str">
        <f>+IF(T45="","",T45)</f>
        <v/>
      </c>
      <c r="X42" s="282"/>
      <c r="Y42" s="283"/>
      <c r="Z42" s="283"/>
    </row>
    <row r="43" spans="1:26" ht="29.45" customHeight="1" x14ac:dyDescent="0.25">
      <c r="A43" s="482"/>
      <c r="B43" s="485"/>
      <c r="C43" s="460"/>
      <c r="D43" s="463"/>
      <c r="E43" s="62">
        <v>2</v>
      </c>
      <c r="F43" s="321"/>
      <c r="G43" s="208"/>
      <c r="H43" s="208"/>
      <c r="I43" s="279" t="str">
        <f t="shared" si="12"/>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86" t="str">
        <f t="shared" ref="R43" si="19">+IFERROR(K43+N43,"")</f>
        <v/>
      </c>
      <c r="S43" s="286" t="str">
        <f>IF(L43='11 FORMULAS'!$P$5,S42-(S42*R43),S42)</f>
        <v/>
      </c>
      <c r="T43" s="286" t="str">
        <f>IF(L43='11 FORMULAS'!$P$6,T42-(T42*R43),T42)</f>
        <v/>
      </c>
      <c r="U43" s="488"/>
      <c r="V43" s="491"/>
      <c r="X43" s="282"/>
      <c r="Y43" s="283"/>
      <c r="Z43" s="283"/>
    </row>
    <row r="44" spans="1:26" ht="29.45" customHeight="1" x14ac:dyDescent="0.25">
      <c r="A44" s="482"/>
      <c r="B44" s="485"/>
      <c r="C44" s="460"/>
      <c r="D44" s="463"/>
      <c r="E44" s="62">
        <v>3</v>
      </c>
      <c r="F44" s="321"/>
      <c r="G44" s="208"/>
      <c r="H44" s="208"/>
      <c r="I44" s="279" t="str">
        <f t="shared" si="12"/>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86" t="str">
        <f>+IFERROR(K44+N44,"")</f>
        <v/>
      </c>
      <c r="S44" s="286" t="str">
        <f>IF(L44='11 FORMULAS'!$P$5,S43-(S43*R44),S43)</f>
        <v/>
      </c>
      <c r="T44" s="286" t="str">
        <f>IF(L44='11 FORMULAS'!$P$6,T43-(T43*R44),T43)</f>
        <v/>
      </c>
      <c r="U44" s="488"/>
      <c r="V44" s="491"/>
      <c r="X44" s="282"/>
      <c r="Y44" s="283"/>
      <c r="Z44" s="283"/>
    </row>
    <row r="45" spans="1:26" ht="29.45" customHeight="1" thickBot="1" x14ac:dyDescent="0.3">
      <c r="A45" s="483"/>
      <c r="B45" s="486"/>
      <c r="C45" s="461"/>
      <c r="D45" s="464"/>
      <c r="E45" s="63">
        <v>4</v>
      </c>
      <c r="F45" s="323"/>
      <c r="G45" s="209"/>
      <c r="H45" s="209"/>
      <c r="I45" s="280" t="str">
        <f t="shared" si="12"/>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87" t="str">
        <f t="shared" ref="R45" si="20">+IFERROR(K45+N45,"")</f>
        <v/>
      </c>
      <c r="S45" s="287" t="str">
        <f>IF(L45='11 FORMULAS'!$P$5,S44-(S44*R45),S44)</f>
        <v/>
      </c>
      <c r="T45" s="287" t="str">
        <f>IF(L45='11 FORMULAS'!$P$6,T44-(T44*R45),T44)</f>
        <v/>
      </c>
      <c r="U45" s="489"/>
      <c r="V45" s="492"/>
    </row>
    <row r="46" spans="1:26" ht="29.45" customHeight="1" x14ac:dyDescent="0.25">
      <c r="A46" s="481" t="str">
        <f>'2 CONTEXTO E IDENTIFICACIÓN'!A16</f>
        <v>R13</v>
      </c>
      <c r="B46" s="484" t="str">
        <f>+'2 CONTEXTO E IDENTIFICACIÓN'!E16</f>
        <v xml:space="preserve">  </v>
      </c>
      <c r="C46" s="459" t="str">
        <f>+'3 PROBABIL E IMPACTO INHERENTE'!E19</f>
        <v/>
      </c>
      <c r="D46" s="462" t="str">
        <f>+'3 PROBABIL E IMPACTO INHERENTE'!M19</f>
        <v/>
      </c>
      <c r="E46" s="61">
        <v>1</v>
      </c>
      <c r="F46" s="318"/>
      <c r="G46" s="64"/>
      <c r="H46" s="64"/>
      <c r="I46" s="278" t="str">
        <f t="shared" si="12"/>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85" t="str">
        <f>+IFERROR(K46+N46,"")</f>
        <v/>
      </c>
      <c r="S46" s="285" t="str">
        <f>IF(L46='11 FORMULAS'!$P$5,C46-(C46*R46),C46)</f>
        <v/>
      </c>
      <c r="T46" s="285" t="str">
        <f>IF(L46='11 FORMULAS'!$P$6,D46-(D46*R46),D46)</f>
        <v/>
      </c>
      <c r="U46" s="487" t="str">
        <f>+IF(S49="","",S49)</f>
        <v/>
      </c>
      <c r="V46" s="490" t="str">
        <f>+IF(T49="","",T49)</f>
        <v/>
      </c>
      <c r="X46" s="282"/>
      <c r="Y46" s="283"/>
      <c r="Z46" s="283"/>
    </row>
    <row r="47" spans="1:26" ht="29.45" customHeight="1" x14ac:dyDescent="0.25">
      <c r="A47" s="482"/>
      <c r="B47" s="485"/>
      <c r="C47" s="460"/>
      <c r="D47" s="463"/>
      <c r="E47" s="62">
        <v>2</v>
      </c>
      <c r="F47" s="321"/>
      <c r="G47" s="208"/>
      <c r="H47" s="208"/>
      <c r="I47" s="279" t="str">
        <f t="shared" si="12"/>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86" t="str">
        <f t="shared" ref="R47" si="21">+IFERROR(K47+N47,"")</f>
        <v/>
      </c>
      <c r="S47" s="286" t="str">
        <f>IF(L47='11 FORMULAS'!$P$5,S46-(S46*R47),S46)</f>
        <v/>
      </c>
      <c r="T47" s="286" t="str">
        <f>IF(L47='11 FORMULAS'!$P$6,T46-(T46*R47),T46)</f>
        <v/>
      </c>
      <c r="U47" s="488"/>
      <c r="V47" s="491"/>
      <c r="X47" s="282"/>
      <c r="Y47" s="283"/>
      <c r="Z47" s="283"/>
    </row>
    <row r="48" spans="1:26" ht="29.45" customHeight="1" x14ac:dyDescent="0.25">
      <c r="A48" s="482"/>
      <c r="B48" s="485"/>
      <c r="C48" s="460"/>
      <c r="D48" s="463"/>
      <c r="E48" s="62">
        <v>3</v>
      </c>
      <c r="F48" s="321"/>
      <c r="G48" s="208"/>
      <c r="H48" s="208"/>
      <c r="I48" s="279" t="str">
        <f t="shared" si="12"/>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86" t="str">
        <f>+IFERROR(K48+N48,"")</f>
        <v/>
      </c>
      <c r="S48" s="286" t="str">
        <f>IF(L48='11 FORMULAS'!$P$5,S47-(S47*R48),S47)</f>
        <v/>
      </c>
      <c r="T48" s="286" t="str">
        <f>IF(L48='11 FORMULAS'!$P$6,T47-(T47*R48),T47)</f>
        <v/>
      </c>
      <c r="U48" s="488"/>
      <c r="V48" s="491"/>
      <c r="X48" s="282"/>
      <c r="Y48" s="283"/>
      <c r="Z48" s="283"/>
    </row>
    <row r="49" spans="1:26" ht="29.45" customHeight="1" thickBot="1" x14ac:dyDescent="0.3">
      <c r="A49" s="483"/>
      <c r="B49" s="486"/>
      <c r="C49" s="461"/>
      <c r="D49" s="464"/>
      <c r="E49" s="63">
        <v>4</v>
      </c>
      <c r="F49" s="323"/>
      <c r="G49" s="209"/>
      <c r="H49" s="209"/>
      <c r="I49" s="280" t="str">
        <f t="shared" si="12"/>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87" t="str">
        <f t="shared" ref="R49" si="22">+IFERROR(K49+N49,"")</f>
        <v/>
      </c>
      <c r="S49" s="287" t="str">
        <f>IF(L49='11 FORMULAS'!$P$5,S48-(S48*R49),S48)</f>
        <v/>
      </c>
      <c r="T49" s="287" t="str">
        <f>IF(L49='11 FORMULAS'!$P$6,T48-(T48*R49),T48)</f>
        <v/>
      </c>
      <c r="U49" s="489"/>
      <c r="V49" s="492"/>
    </row>
    <row r="50" spans="1:26" ht="29.45" customHeight="1" x14ac:dyDescent="0.25">
      <c r="A50" s="481" t="str">
        <f>'2 CONTEXTO E IDENTIFICACIÓN'!A17</f>
        <v>R14</v>
      </c>
      <c r="B50" s="484" t="str">
        <f>+'2 CONTEXTO E IDENTIFICACIÓN'!E17</f>
        <v xml:space="preserve">  </v>
      </c>
      <c r="C50" s="459" t="str">
        <f>+'3 PROBABIL E IMPACTO INHERENTE'!E20</f>
        <v/>
      </c>
      <c r="D50" s="462" t="str">
        <f>+'3 PROBABIL E IMPACTO INHERENTE'!M20</f>
        <v/>
      </c>
      <c r="E50" s="61">
        <v>1</v>
      </c>
      <c r="F50" s="318"/>
      <c r="G50" s="64"/>
      <c r="H50" s="64"/>
      <c r="I50" s="278" t="str">
        <f t="shared" si="12"/>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85" t="str">
        <f>+IFERROR(K50+N50,"")</f>
        <v/>
      </c>
      <c r="S50" s="285" t="str">
        <f>IF(L50='11 FORMULAS'!$P$5,C50-(C50*R50),C50)</f>
        <v/>
      </c>
      <c r="T50" s="285" t="str">
        <f>IF(L50='11 FORMULAS'!$P$6,D50-(D50*R50),D50)</f>
        <v/>
      </c>
      <c r="U50" s="487" t="str">
        <f>+IF(S53="","",S53)</f>
        <v/>
      </c>
      <c r="V50" s="490" t="str">
        <f>+IF(T53="","",T53)</f>
        <v/>
      </c>
      <c r="X50" s="282"/>
      <c r="Y50" s="283"/>
      <c r="Z50" s="283"/>
    </row>
    <row r="51" spans="1:26" ht="29.45" customHeight="1" x14ac:dyDescent="0.25">
      <c r="A51" s="482"/>
      <c r="B51" s="485"/>
      <c r="C51" s="460"/>
      <c r="D51" s="463"/>
      <c r="E51" s="62">
        <v>2</v>
      </c>
      <c r="F51" s="321"/>
      <c r="G51" s="208"/>
      <c r="H51" s="208"/>
      <c r="I51" s="279" t="str">
        <f t="shared" si="12"/>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86" t="str">
        <f t="shared" ref="R51" si="23">+IFERROR(K51+N51,"")</f>
        <v/>
      </c>
      <c r="S51" s="286" t="str">
        <f>IF(L51='11 FORMULAS'!$P$5,S50-(S50*R51),S50)</f>
        <v/>
      </c>
      <c r="T51" s="286" t="str">
        <f>IF(L51='11 FORMULAS'!$P$6,T50-(T50*R51),T50)</f>
        <v/>
      </c>
      <c r="U51" s="488"/>
      <c r="V51" s="491"/>
      <c r="X51" s="282"/>
      <c r="Y51" s="283"/>
      <c r="Z51" s="283"/>
    </row>
    <row r="52" spans="1:26" ht="29.45" customHeight="1" x14ac:dyDescent="0.25">
      <c r="A52" s="482"/>
      <c r="B52" s="485"/>
      <c r="C52" s="460"/>
      <c r="D52" s="463"/>
      <c r="E52" s="62">
        <v>3</v>
      </c>
      <c r="F52" s="321"/>
      <c r="G52" s="208"/>
      <c r="H52" s="208"/>
      <c r="I52" s="279" t="str">
        <f t="shared" si="12"/>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86" t="str">
        <f>+IFERROR(K52+N52,"")</f>
        <v/>
      </c>
      <c r="S52" s="286" t="str">
        <f>IF(L52='11 FORMULAS'!$P$5,S51-(S51*R52),S51)</f>
        <v/>
      </c>
      <c r="T52" s="286" t="str">
        <f>IF(L52='11 FORMULAS'!$P$6,T51-(T51*R52),T51)</f>
        <v/>
      </c>
      <c r="U52" s="488"/>
      <c r="V52" s="491"/>
      <c r="X52" s="282"/>
      <c r="Y52" s="283"/>
      <c r="Z52" s="283"/>
    </row>
    <row r="53" spans="1:26" ht="29.45" customHeight="1" thickBot="1" x14ac:dyDescent="0.3">
      <c r="A53" s="483"/>
      <c r="B53" s="486"/>
      <c r="C53" s="461"/>
      <c r="D53" s="464"/>
      <c r="E53" s="63">
        <v>4</v>
      </c>
      <c r="F53" s="323"/>
      <c r="G53" s="209"/>
      <c r="H53" s="209"/>
      <c r="I53" s="280" t="str">
        <f t="shared" si="12"/>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87" t="str">
        <f t="shared" ref="R53" si="24">+IFERROR(K53+N53,"")</f>
        <v/>
      </c>
      <c r="S53" s="287" t="str">
        <f>IF(L53='11 FORMULAS'!$P$5,S52-(S52*R53),S52)</f>
        <v/>
      </c>
      <c r="T53" s="287" t="str">
        <f>IF(L53='11 FORMULAS'!$P$6,T52-(T52*R53),T52)</f>
        <v/>
      </c>
      <c r="U53" s="489"/>
      <c r="V53" s="492"/>
    </row>
    <row r="54" spans="1:26" ht="29.45" customHeight="1" x14ac:dyDescent="0.25">
      <c r="A54" s="481" t="str">
        <f>'2 CONTEXTO E IDENTIFICACIÓN'!A18</f>
        <v>R15</v>
      </c>
      <c r="B54" s="484" t="str">
        <f>+'2 CONTEXTO E IDENTIFICACIÓN'!E18</f>
        <v xml:space="preserve">  </v>
      </c>
      <c r="C54" s="459" t="str">
        <f>+'3 PROBABIL E IMPACTO INHERENTE'!E21</f>
        <v/>
      </c>
      <c r="D54" s="462" t="str">
        <f>+'3 PROBABIL E IMPACTO INHERENTE'!M21</f>
        <v/>
      </c>
      <c r="E54" s="61">
        <v>1</v>
      </c>
      <c r="F54" s="318"/>
      <c r="G54" s="64"/>
      <c r="H54" s="64"/>
      <c r="I54" s="278" t="str">
        <f t="shared" si="12"/>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85" t="str">
        <f>+IFERROR(K54+N54,"")</f>
        <v/>
      </c>
      <c r="S54" s="285" t="str">
        <f>IF(L54='11 FORMULAS'!$P$5,C54-(C54*R54),C54)</f>
        <v/>
      </c>
      <c r="T54" s="285" t="str">
        <f>IF(L54='11 FORMULAS'!$P$6,D54-(D54*R54),D54)</f>
        <v/>
      </c>
      <c r="U54" s="487" t="str">
        <f>+IF(S57="","",S57)</f>
        <v/>
      </c>
      <c r="V54" s="490" t="str">
        <f>+IF(T57="","",T57)</f>
        <v/>
      </c>
      <c r="X54" s="282"/>
      <c r="Y54" s="283"/>
      <c r="Z54" s="283"/>
    </row>
    <row r="55" spans="1:26" ht="29.45" customHeight="1" x14ac:dyDescent="0.25">
      <c r="A55" s="482"/>
      <c r="B55" s="485"/>
      <c r="C55" s="460"/>
      <c r="D55" s="463"/>
      <c r="E55" s="62">
        <v>2</v>
      </c>
      <c r="F55" s="321"/>
      <c r="G55" s="208"/>
      <c r="H55" s="208"/>
      <c r="I55" s="279" t="str">
        <f t="shared" si="12"/>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86" t="str">
        <f t="shared" ref="R55" si="25">+IFERROR(K55+N55,"")</f>
        <v/>
      </c>
      <c r="S55" s="286" t="str">
        <f>IF(L55='11 FORMULAS'!$P$5,S54-(S54*R55),S54)</f>
        <v/>
      </c>
      <c r="T55" s="286" t="str">
        <f>IF(L55='11 FORMULAS'!$P$6,T54-(T54*R55),T54)</f>
        <v/>
      </c>
      <c r="U55" s="488"/>
      <c r="V55" s="491"/>
      <c r="X55" s="282"/>
      <c r="Y55" s="283"/>
      <c r="Z55" s="283"/>
    </row>
    <row r="56" spans="1:26" ht="29.45" customHeight="1" x14ac:dyDescent="0.25">
      <c r="A56" s="482"/>
      <c r="B56" s="485"/>
      <c r="C56" s="460"/>
      <c r="D56" s="463"/>
      <c r="E56" s="62">
        <v>3</v>
      </c>
      <c r="F56" s="321"/>
      <c r="G56" s="208"/>
      <c r="H56" s="208"/>
      <c r="I56" s="279" t="str">
        <f t="shared" si="12"/>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86" t="str">
        <f>+IFERROR(K56+N56,"")</f>
        <v/>
      </c>
      <c r="S56" s="286" t="str">
        <f>IF(L56='11 FORMULAS'!$P$5,S55-(S55*R56),S55)</f>
        <v/>
      </c>
      <c r="T56" s="286" t="str">
        <f>IF(L56='11 FORMULAS'!$P$6,T55-(T55*R56),T55)</f>
        <v/>
      </c>
      <c r="U56" s="488"/>
      <c r="V56" s="491"/>
      <c r="X56" s="282"/>
      <c r="Y56" s="283"/>
      <c r="Z56" s="283"/>
    </row>
    <row r="57" spans="1:26" ht="29.45" customHeight="1" thickBot="1" x14ac:dyDescent="0.3">
      <c r="A57" s="483"/>
      <c r="B57" s="486"/>
      <c r="C57" s="461"/>
      <c r="D57" s="464"/>
      <c r="E57" s="63">
        <v>4</v>
      </c>
      <c r="F57" s="323"/>
      <c r="G57" s="209"/>
      <c r="H57" s="209"/>
      <c r="I57" s="280" t="str">
        <f t="shared" si="12"/>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87" t="str">
        <f t="shared" ref="R57" si="26">+IFERROR(K57+N57,"")</f>
        <v/>
      </c>
      <c r="S57" s="287" t="str">
        <f>IF(L57='11 FORMULAS'!$P$5,S56-(S56*R57),S56)</f>
        <v/>
      </c>
      <c r="T57" s="287" t="str">
        <f>IF(L57='11 FORMULAS'!$P$6,T56-(T56*R57),T56)</f>
        <v/>
      </c>
      <c r="U57" s="489"/>
      <c r="V57" s="492"/>
    </row>
    <row r="58" spans="1:26" ht="29.45" customHeight="1" x14ac:dyDescent="0.25">
      <c r="A58" s="481" t="str">
        <f>'2 CONTEXTO E IDENTIFICACIÓN'!A19</f>
        <v>R16</v>
      </c>
      <c r="B58" s="484" t="str">
        <f>+'2 CONTEXTO E IDENTIFICACIÓN'!E19</f>
        <v xml:space="preserve">  </v>
      </c>
      <c r="C58" s="459" t="str">
        <f>+'3 PROBABIL E IMPACTO INHERENTE'!E22</f>
        <v/>
      </c>
      <c r="D58" s="462" t="str">
        <f>+'3 PROBABIL E IMPACTO INHERENTE'!M22</f>
        <v/>
      </c>
      <c r="E58" s="61">
        <v>1</v>
      </c>
      <c r="F58" s="318"/>
      <c r="G58" s="64"/>
      <c r="H58" s="64"/>
      <c r="I58" s="278" t="str">
        <f t="shared" si="12"/>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85" t="str">
        <f>+IFERROR(K58+N58,"")</f>
        <v/>
      </c>
      <c r="S58" s="285" t="str">
        <f>IF(L58='11 FORMULAS'!$P$5,C58-(C58*R58),C58)</f>
        <v/>
      </c>
      <c r="T58" s="285" t="str">
        <f>IF(L58='11 FORMULAS'!$P$6,D58-(D58*R58),D58)</f>
        <v/>
      </c>
      <c r="U58" s="487" t="str">
        <f>+IF(S61="","",S61)</f>
        <v/>
      </c>
      <c r="V58" s="490" t="str">
        <f>+IF(T61="","",T61)</f>
        <v/>
      </c>
      <c r="X58" s="282"/>
      <c r="Y58" s="283"/>
      <c r="Z58" s="283"/>
    </row>
    <row r="59" spans="1:26" ht="29.45" customHeight="1" x14ac:dyDescent="0.25">
      <c r="A59" s="482"/>
      <c r="B59" s="485"/>
      <c r="C59" s="460"/>
      <c r="D59" s="463"/>
      <c r="E59" s="62">
        <v>2</v>
      </c>
      <c r="F59" s="321"/>
      <c r="G59" s="208"/>
      <c r="H59" s="208"/>
      <c r="I59" s="279" t="str">
        <f t="shared" si="12"/>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86" t="str">
        <f t="shared" ref="R59" si="27">+IFERROR(K59+N59,"")</f>
        <v/>
      </c>
      <c r="S59" s="286" t="str">
        <f>IF(L59='11 FORMULAS'!$P$5,S58-(S58*R59),S58)</f>
        <v/>
      </c>
      <c r="T59" s="286" t="str">
        <f>IF(L59='11 FORMULAS'!$P$6,T58-(T58*R59),T58)</f>
        <v/>
      </c>
      <c r="U59" s="488"/>
      <c r="V59" s="491"/>
      <c r="X59" s="282"/>
      <c r="Y59" s="283"/>
      <c r="Z59" s="283"/>
    </row>
    <row r="60" spans="1:26" ht="29.45" customHeight="1" x14ac:dyDescent="0.25">
      <c r="A60" s="482"/>
      <c r="B60" s="485"/>
      <c r="C60" s="460"/>
      <c r="D60" s="463"/>
      <c r="E60" s="62">
        <v>3</v>
      </c>
      <c r="F60" s="321"/>
      <c r="G60" s="208"/>
      <c r="H60" s="208"/>
      <c r="I60" s="279" t="str">
        <f t="shared" si="12"/>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86" t="str">
        <f>+IFERROR(K60+N60,"")</f>
        <v/>
      </c>
      <c r="S60" s="286" t="str">
        <f>IF(L60='11 FORMULAS'!$P$5,S59-(S59*R60),S59)</f>
        <v/>
      </c>
      <c r="T60" s="286" t="str">
        <f>IF(L60='11 FORMULAS'!$P$6,T59-(T59*R60),T59)</f>
        <v/>
      </c>
      <c r="U60" s="488"/>
      <c r="V60" s="491"/>
      <c r="X60" s="282"/>
      <c r="Y60" s="283"/>
      <c r="Z60" s="283"/>
    </row>
    <row r="61" spans="1:26" ht="29.45" customHeight="1" thickBot="1" x14ac:dyDescent="0.3">
      <c r="A61" s="483"/>
      <c r="B61" s="486"/>
      <c r="C61" s="461"/>
      <c r="D61" s="464"/>
      <c r="E61" s="63">
        <v>4</v>
      </c>
      <c r="F61" s="323"/>
      <c r="G61" s="209"/>
      <c r="H61" s="209"/>
      <c r="I61" s="280" t="str">
        <f t="shared" si="12"/>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87" t="str">
        <f t="shared" ref="R61" si="28">+IFERROR(K61+N61,"")</f>
        <v/>
      </c>
      <c r="S61" s="287" t="str">
        <f>IF(L61='11 FORMULAS'!$P$5,S60-(S60*R61),S60)</f>
        <v/>
      </c>
      <c r="T61" s="287" t="str">
        <f>IF(L61='11 FORMULAS'!$P$6,T60-(T60*R61),T60)</f>
        <v/>
      </c>
      <c r="U61" s="489"/>
      <c r="V61" s="492"/>
    </row>
    <row r="62" spans="1:26" ht="29.45" customHeight="1" x14ac:dyDescent="0.25">
      <c r="A62" s="481" t="str">
        <f>'2 CONTEXTO E IDENTIFICACIÓN'!A20</f>
        <v>R17</v>
      </c>
      <c r="B62" s="484" t="str">
        <f>+'2 CONTEXTO E IDENTIFICACIÓN'!E20</f>
        <v xml:space="preserve">  </v>
      </c>
      <c r="C62" s="459" t="str">
        <f>+'3 PROBABIL E IMPACTO INHERENTE'!E23</f>
        <v/>
      </c>
      <c r="D62" s="462" t="str">
        <f>+'3 PROBABIL E IMPACTO INHERENTE'!M23</f>
        <v/>
      </c>
      <c r="E62" s="61">
        <v>1</v>
      </c>
      <c r="F62" s="318"/>
      <c r="G62" s="64"/>
      <c r="H62" s="64"/>
      <c r="I62" s="278" t="str">
        <f t="shared" ref="I62:I77" si="29">+CONCATENATE(F62," ",G62," ",H62)</f>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85" t="str">
        <f>+IFERROR(K62+N62,"")</f>
        <v/>
      </c>
      <c r="S62" s="285" t="str">
        <f>IF(L62='11 FORMULAS'!$P$5,C62-(C62*R62),C62)</f>
        <v/>
      </c>
      <c r="T62" s="285" t="str">
        <f>IF(L62='11 FORMULAS'!$P$6,D62-(D62*R62),D62)</f>
        <v/>
      </c>
      <c r="U62" s="487" t="str">
        <f>+IF(S65="","",S65)</f>
        <v/>
      </c>
      <c r="V62" s="490" t="str">
        <f>+IF(T65="","",T65)</f>
        <v/>
      </c>
      <c r="X62" s="282"/>
      <c r="Y62" s="283"/>
      <c r="Z62" s="283"/>
    </row>
    <row r="63" spans="1:26" ht="29.45" customHeight="1" x14ac:dyDescent="0.25">
      <c r="A63" s="482"/>
      <c r="B63" s="485"/>
      <c r="C63" s="460"/>
      <c r="D63" s="463"/>
      <c r="E63" s="62">
        <v>2</v>
      </c>
      <c r="F63" s="321"/>
      <c r="G63" s="208"/>
      <c r="H63" s="208"/>
      <c r="I63" s="279" t="str">
        <f t="shared" si="29"/>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86" t="str">
        <f t="shared" ref="R63" si="30">+IFERROR(K63+N63,"")</f>
        <v/>
      </c>
      <c r="S63" s="286" t="str">
        <f>IF(L63='11 FORMULAS'!$P$5,S62-(S62*R63),S62)</f>
        <v/>
      </c>
      <c r="T63" s="286" t="str">
        <f>IF(L63='11 FORMULAS'!$P$6,T62-(T62*R63),T62)</f>
        <v/>
      </c>
      <c r="U63" s="488"/>
      <c r="V63" s="491"/>
      <c r="X63" s="282"/>
      <c r="Y63" s="283"/>
      <c r="Z63" s="283"/>
    </row>
    <row r="64" spans="1:26" ht="29.45" customHeight="1" x14ac:dyDescent="0.25">
      <c r="A64" s="482"/>
      <c r="B64" s="485"/>
      <c r="C64" s="460"/>
      <c r="D64" s="463"/>
      <c r="E64" s="62">
        <v>3</v>
      </c>
      <c r="F64" s="321"/>
      <c r="G64" s="208"/>
      <c r="H64" s="208"/>
      <c r="I64" s="279" t="str">
        <f t="shared" si="29"/>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86" t="str">
        <f>+IFERROR(K64+N64,"")</f>
        <v/>
      </c>
      <c r="S64" s="286" t="str">
        <f>IF(L64='11 FORMULAS'!$P$5,S63-(S63*R64),S63)</f>
        <v/>
      </c>
      <c r="T64" s="286" t="str">
        <f>IF(L64='11 FORMULAS'!$P$6,T63-(T63*R64),T63)</f>
        <v/>
      </c>
      <c r="U64" s="488"/>
      <c r="V64" s="491"/>
      <c r="X64" s="282"/>
      <c r="Y64" s="283"/>
      <c r="Z64" s="283"/>
    </row>
    <row r="65" spans="1:26" ht="29.45" customHeight="1" thickBot="1" x14ac:dyDescent="0.3">
      <c r="A65" s="483"/>
      <c r="B65" s="486"/>
      <c r="C65" s="461"/>
      <c r="D65" s="464"/>
      <c r="E65" s="63">
        <v>4</v>
      </c>
      <c r="F65" s="323"/>
      <c r="G65" s="209"/>
      <c r="H65" s="209"/>
      <c r="I65" s="280" t="str">
        <f t="shared" si="29"/>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87" t="str">
        <f t="shared" ref="R65" si="31">+IFERROR(K65+N65,"")</f>
        <v/>
      </c>
      <c r="S65" s="287" t="str">
        <f>IF(L65='11 FORMULAS'!$P$5,S64-(S64*R65),S64)</f>
        <v/>
      </c>
      <c r="T65" s="287" t="str">
        <f>IF(L65='11 FORMULAS'!$P$6,T64-(T64*R65),T64)</f>
        <v/>
      </c>
      <c r="U65" s="489"/>
      <c r="V65" s="492"/>
    </row>
    <row r="66" spans="1:26" ht="29.45" customHeight="1" x14ac:dyDescent="0.25">
      <c r="A66" s="481" t="str">
        <f>'2 CONTEXTO E IDENTIFICACIÓN'!A21</f>
        <v>R18</v>
      </c>
      <c r="B66" s="484" t="str">
        <f>+'2 CONTEXTO E IDENTIFICACIÓN'!E21</f>
        <v xml:space="preserve">  </v>
      </c>
      <c r="C66" s="459" t="str">
        <f>+'3 PROBABIL E IMPACTO INHERENTE'!E24</f>
        <v/>
      </c>
      <c r="D66" s="462" t="str">
        <f>+'3 PROBABIL E IMPACTO INHERENTE'!M24</f>
        <v/>
      </c>
      <c r="E66" s="61">
        <v>1</v>
      </c>
      <c r="F66" s="318"/>
      <c r="G66" s="64"/>
      <c r="H66" s="64"/>
      <c r="I66" s="278" t="str">
        <f t="shared" si="29"/>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85" t="str">
        <f>+IFERROR(K66+N66,"")</f>
        <v/>
      </c>
      <c r="S66" s="285" t="str">
        <f>IF(L66='11 FORMULAS'!$P$5,C66-(C66*R66),C66)</f>
        <v/>
      </c>
      <c r="T66" s="285" t="str">
        <f>IF(L66='11 FORMULAS'!$P$6,D66-(D66*R66),D66)</f>
        <v/>
      </c>
      <c r="U66" s="487" t="str">
        <f>+IF(S69="","",S69)</f>
        <v/>
      </c>
      <c r="V66" s="490" t="str">
        <f>+IF(T69="","",T69)</f>
        <v/>
      </c>
      <c r="X66" s="282"/>
      <c r="Y66" s="283"/>
      <c r="Z66" s="283"/>
    </row>
    <row r="67" spans="1:26" ht="29.45" customHeight="1" x14ac:dyDescent="0.25">
      <c r="A67" s="482"/>
      <c r="B67" s="485"/>
      <c r="C67" s="460"/>
      <c r="D67" s="463"/>
      <c r="E67" s="62">
        <v>2</v>
      </c>
      <c r="F67" s="321"/>
      <c r="G67" s="208"/>
      <c r="H67" s="208"/>
      <c r="I67" s="279" t="str">
        <f t="shared" si="29"/>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86" t="str">
        <f t="shared" ref="R67" si="32">+IFERROR(K67+N67,"")</f>
        <v/>
      </c>
      <c r="S67" s="286" t="str">
        <f>IF(L67='11 FORMULAS'!$P$5,S66-(S66*R67),S66)</f>
        <v/>
      </c>
      <c r="T67" s="286" t="str">
        <f>IF(L67='11 FORMULAS'!$P$6,T66-(T66*R67),T66)</f>
        <v/>
      </c>
      <c r="U67" s="488"/>
      <c r="V67" s="491"/>
      <c r="X67" s="282"/>
      <c r="Y67" s="283"/>
      <c r="Z67" s="283"/>
    </row>
    <row r="68" spans="1:26" ht="29.45" customHeight="1" x14ac:dyDescent="0.25">
      <c r="A68" s="482"/>
      <c r="B68" s="485"/>
      <c r="C68" s="460"/>
      <c r="D68" s="463"/>
      <c r="E68" s="62">
        <v>3</v>
      </c>
      <c r="F68" s="321"/>
      <c r="G68" s="208"/>
      <c r="H68" s="208"/>
      <c r="I68" s="279" t="str">
        <f t="shared" si="29"/>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86" t="str">
        <f>+IFERROR(K68+N68,"")</f>
        <v/>
      </c>
      <c r="S68" s="286" t="str">
        <f>IF(L68='11 FORMULAS'!$P$5,S67-(S67*R68),S67)</f>
        <v/>
      </c>
      <c r="T68" s="286" t="str">
        <f>IF(L68='11 FORMULAS'!$P$6,T67-(T67*R68),T67)</f>
        <v/>
      </c>
      <c r="U68" s="488"/>
      <c r="V68" s="491"/>
      <c r="X68" s="282"/>
      <c r="Y68" s="283"/>
      <c r="Z68" s="283"/>
    </row>
    <row r="69" spans="1:26" ht="29.45" customHeight="1" thickBot="1" x14ac:dyDescent="0.3">
      <c r="A69" s="483"/>
      <c r="B69" s="486"/>
      <c r="C69" s="461"/>
      <c r="D69" s="464"/>
      <c r="E69" s="63">
        <v>4</v>
      </c>
      <c r="F69" s="323"/>
      <c r="G69" s="209"/>
      <c r="H69" s="209"/>
      <c r="I69" s="280" t="str">
        <f t="shared" si="29"/>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87" t="str">
        <f t="shared" ref="R69" si="33">+IFERROR(K69+N69,"")</f>
        <v/>
      </c>
      <c r="S69" s="287" t="str">
        <f>IF(L69='11 FORMULAS'!$P$5,S68-(S68*R69),S68)</f>
        <v/>
      </c>
      <c r="T69" s="287" t="str">
        <f>IF(L69='11 FORMULAS'!$P$6,T68-(T68*R69),T68)</f>
        <v/>
      </c>
      <c r="U69" s="489"/>
      <c r="V69" s="492"/>
    </row>
    <row r="70" spans="1:26" ht="29.45" customHeight="1" x14ac:dyDescent="0.25">
      <c r="A70" s="481" t="str">
        <f>'2 CONTEXTO E IDENTIFICACIÓN'!A22</f>
        <v>R19</v>
      </c>
      <c r="B70" s="484" t="str">
        <f>+'2 CONTEXTO E IDENTIFICACIÓN'!E22</f>
        <v xml:space="preserve">  </v>
      </c>
      <c r="C70" s="459" t="str">
        <f>+'3 PROBABIL E IMPACTO INHERENTE'!E25</f>
        <v/>
      </c>
      <c r="D70" s="462" t="str">
        <f>+'3 PROBABIL E IMPACTO INHERENTE'!M25</f>
        <v/>
      </c>
      <c r="E70" s="61">
        <v>1</v>
      </c>
      <c r="F70" s="318"/>
      <c r="G70" s="64"/>
      <c r="H70" s="64"/>
      <c r="I70" s="278" t="str">
        <f t="shared" si="29"/>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85" t="str">
        <f>+IFERROR(K70+N70,"")</f>
        <v/>
      </c>
      <c r="S70" s="285" t="str">
        <f>IF(L70='11 FORMULAS'!$P$5,C70-(C70*R70),C70)</f>
        <v/>
      </c>
      <c r="T70" s="285" t="str">
        <f>IF(L70='11 FORMULAS'!$P$6,D70-(D70*R70),D70)</f>
        <v/>
      </c>
      <c r="U70" s="487" t="str">
        <f>+IF(S73="","",S73)</f>
        <v/>
      </c>
      <c r="V70" s="490" t="str">
        <f>+IF(T73="","",T73)</f>
        <v/>
      </c>
      <c r="X70" s="282"/>
      <c r="Y70" s="283"/>
      <c r="Z70" s="283"/>
    </row>
    <row r="71" spans="1:26" ht="29.45" customHeight="1" x14ac:dyDescent="0.25">
      <c r="A71" s="482"/>
      <c r="B71" s="485"/>
      <c r="C71" s="460"/>
      <c r="D71" s="463"/>
      <c r="E71" s="62">
        <v>2</v>
      </c>
      <c r="F71" s="321"/>
      <c r="G71" s="208"/>
      <c r="H71" s="208"/>
      <c r="I71" s="279" t="str">
        <f t="shared" si="29"/>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86" t="str">
        <f t="shared" ref="R71" si="34">+IFERROR(K71+N71,"")</f>
        <v/>
      </c>
      <c r="S71" s="286" t="str">
        <f>IF(L71='11 FORMULAS'!$P$5,S70-(S70*R71),S70)</f>
        <v/>
      </c>
      <c r="T71" s="286" t="str">
        <f>IF(L71='11 FORMULAS'!$P$6,T70-(T70*R71),T70)</f>
        <v/>
      </c>
      <c r="U71" s="488"/>
      <c r="V71" s="491"/>
      <c r="X71" s="282"/>
      <c r="Y71" s="283"/>
      <c r="Z71" s="283"/>
    </row>
    <row r="72" spans="1:26" ht="29.45" customHeight="1" x14ac:dyDescent="0.25">
      <c r="A72" s="482"/>
      <c r="B72" s="485"/>
      <c r="C72" s="460"/>
      <c r="D72" s="463"/>
      <c r="E72" s="62">
        <v>3</v>
      </c>
      <c r="F72" s="321"/>
      <c r="G72" s="208"/>
      <c r="H72" s="208"/>
      <c r="I72" s="279" t="str">
        <f t="shared" si="29"/>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86" t="str">
        <f>+IFERROR(K72+N72,"")</f>
        <v/>
      </c>
      <c r="S72" s="286" t="str">
        <f>IF(L72='11 FORMULAS'!$P$5,S71-(S71*R72),S71)</f>
        <v/>
      </c>
      <c r="T72" s="286" t="str">
        <f>IF(L72='11 FORMULAS'!$P$6,T71-(T71*R72),T71)</f>
        <v/>
      </c>
      <c r="U72" s="488"/>
      <c r="V72" s="491"/>
      <c r="X72" s="282"/>
      <c r="Y72" s="283"/>
      <c r="Z72" s="283"/>
    </row>
    <row r="73" spans="1:26" ht="29.45" customHeight="1" thickBot="1" x14ac:dyDescent="0.3">
      <c r="A73" s="483"/>
      <c r="B73" s="486"/>
      <c r="C73" s="461"/>
      <c r="D73" s="464"/>
      <c r="E73" s="63">
        <v>4</v>
      </c>
      <c r="F73" s="323"/>
      <c r="G73" s="209"/>
      <c r="H73" s="209"/>
      <c r="I73" s="280" t="str">
        <f t="shared" si="29"/>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87" t="str">
        <f t="shared" ref="R73" si="35">+IFERROR(K73+N73,"")</f>
        <v/>
      </c>
      <c r="S73" s="287" t="str">
        <f>IF(L73='11 FORMULAS'!$P$5,S72-(S72*R73),S72)</f>
        <v/>
      </c>
      <c r="T73" s="287" t="str">
        <f>IF(L73='11 FORMULAS'!$P$6,T72-(T72*R73),T72)</f>
        <v/>
      </c>
      <c r="U73" s="489"/>
      <c r="V73" s="492"/>
    </row>
    <row r="74" spans="1:26" ht="29.45" customHeight="1" x14ac:dyDescent="0.25">
      <c r="A74" s="481" t="str">
        <f>'2 CONTEXTO E IDENTIFICACIÓN'!A23</f>
        <v>R20</v>
      </c>
      <c r="B74" s="484" t="str">
        <f>+'2 CONTEXTO E IDENTIFICACIÓN'!E23</f>
        <v xml:space="preserve">  </v>
      </c>
      <c r="C74" s="459" t="str">
        <f>+'3 PROBABIL E IMPACTO INHERENTE'!E26</f>
        <v/>
      </c>
      <c r="D74" s="462" t="str">
        <f>+'3 PROBABIL E IMPACTO INHERENTE'!M26</f>
        <v/>
      </c>
      <c r="E74" s="61">
        <v>1</v>
      </c>
      <c r="F74" s="318"/>
      <c r="G74" s="64"/>
      <c r="H74" s="64"/>
      <c r="I74" s="278" t="str">
        <f t="shared" si="29"/>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85" t="str">
        <f>+IFERROR(K74+N74,"")</f>
        <v/>
      </c>
      <c r="S74" s="285" t="str">
        <f>IF(L74='11 FORMULAS'!$P$5,C74-(C74*R74),C74)</f>
        <v/>
      </c>
      <c r="T74" s="285" t="str">
        <f>IF(L74='11 FORMULAS'!$P$6,D74-(D74*R74),D74)</f>
        <v/>
      </c>
      <c r="U74" s="487" t="str">
        <f>+IF(S77="","",S77)</f>
        <v/>
      </c>
      <c r="V74" s="490" t="str">
        <f>+IF(T77="","",T77)</f>
        <v/>
      </c>
      <c r="X74" s="282"/>
      <c r="Y74" s="283"/>
      <c r="Z74" s="283"/>
    </row>
    <row r="75" spans="1:26" ht="29.45" customHeight="1" x14ac:dyDescent="0.25">
      <c r="A75" s="482"/>
      <c r="B75" s="485"/>
      <c r="C75" s="460"/>
      <c r="D75" s="463"/>
      <c r="E75" s="62">
        <v>2</v>
      </c>
      <c r="F75" s="321"/>
      <c r="G75" s="208"/>
      <c r="H75" s="208"/>
      <c r="I75" s="279" t="str">
        <f t="shared" si="29"/>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86" t="str">
        <f t="shared" ref="R75" si="36">+IFERROR(K75+N75,"")</f>
        <v/>
      </c>
      <c r="S75" s="286" t="str">
        <f>IF(L75='11 FORMULAS'!$P$5,S74-(S74*R75),S74)</f>
        <v/>
      </c>
      <c r="T75" s="286" t="str">
        <f>IF(L75='11 FORMULAS'!$P$6,T74-(T74*R75),T74)</f>
        <v/>
      </c>
      <c r="U75" s="488"/>
      <c r="V75" s="491"/>
      <c r="X75" s="282"/>
      <c r="Y75" s="283"/>
      <c r="Z75" s="283"/>
    </row>
    <row r="76" spans="1:26" ht="29.45" customHeight="1" x14ac:dyDescent="0.25">
      <c r="A76" s="482"/>
      <c r="B76" s="485"/>
      <c r="C76" s="460"/>
      <c r="D76" s="463"/>
      <c r="E76" s="62">
        <v>3</v>
      </c>
      <c r="F76" s="321"/>
      <c r="G76" s="208"/>
      <c r="H76" s="208"/>
      <c r="I76" s="279" t="str">
        <f t="shared" si="29"/>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86" t="str">
        <f>+IFERROR(K76+N76,"")</f>
        <v/>
      </c>
      <c r="S76" s="286" t="str">
        <f>IF(L76='11 FORMULAS'!$P$5,S75-(S75*R76),S75)</f>
        <v/>
      </c>
      <c r="T76" s="286" t="str">
        <f>IF(L76='11 FORMULAS'!$P$6,T75-(T75*R76),T75)</f>
        <v/>
      </c>
      <c r="U76" s="488"/>
      <c r="V76" s="491"/>
      <c r="X76" s="282"/>
      <c r="Y76" s="283"/>
      <c r="Z76" s="283"/>
    </row>
    <row r="77" spans="1:26" ht="29.45" customHeight="1" thickBot="1" x14ac:dyDescent="0.3">
      <c r="A77" s="483"/>
      <c r="B77" s="486"/>
      <c r="C77" s="461"/>
      <c r="D77" s="464"/>
      <c r="E77" s="63">
        <v>4</v>
      </c>
      <c r="F77" s="323"/>
      <c r="G77" s="209"/>
      <c r="H77" s="209"/>
      <c r="I77" s="280" t="str">
        <f t="shared" si="29"/>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87" t="str">
        <f t="shared" ref="R77" si="37">+IFERROR(K77+N77,"")</f>
        <v/>
      </c>
      <c r="S77" s="287" t="str">
        <f>IF(L77='11 FORMULAS'!$P$5,S76-(S76*R77),S76)</f>
        <v/>
      </c>
      <c r="T77" s="287" t="str">
        <f>IF(L77='11 FORMULAS'!$P$6,T76-(T76*R77),T76)</f>
        <v/>
      </c>
      <c r="U77" s="489"/>
      <c r="V77" s="492"/>
    </row>
  </sheetData>
  <sheetProtection formatCells="0" formatColumns="0" formatRows="0" sort="0" autoFilter="0" pivotTables="0"/>
  <dataConsolidate/>
  <mergeCells count="122">
    <mergeCell ref="U74:U77"/>
    <mergeCell ref="V74:V77"/>
    <mergeCell ref="B2:D2"/>
    <mergeCell ref="U62:U65"/>
    <mergeCell ref="V62:V65"/>
    <mergeCell ref="U66:U69"/>
    <mergeCell ref="V66:V69"/>
    <mergeCell ref="U70:U73"/>
    <mergeCell ref="V70:V73"/>
    <mergeCell ref="U50:U53"/>
    <mergeCell ref="V50:V53"/>
    <mergeCell ref="U54:U57"/>
    <mergeCell ref="V54:V57"/>
    <mergeCell ref="U58:U61"/>
    <mergeCell ref="V58:V61"/>
    <mergeCell ref="U38:U41"/>
    <mergeCell ref="V38:V41"/>
    <mergeCell ref="U42:U45"/>
    <mergeCell ref="V42:V45"/>
    <mergeCell ref="U46:U49"/>
    <mergeCell ref="V46:V49"/>
    <mergeCell ref="U30:U33"/>
    <mergeCell ref="V30:V33"/>
    <mergeCell ref="U34:U37"/>
    <mergeCell ref="V34:V37"/>
    <mergeCell ref="U18:U21"/>
    <mergeCell ref="V18:V21"/>
    <mergeCell ref="U22:U25"/>
    <mergeCell ref="V22:V25"/>
    <mergeCell ref="U26:U29"/>
    <mergeCell ref="V26:V29"/>
    <mergeCell ref="X2:Z2"/>
    <mergeCell ref="U10:U13"/>
    <mergeCell ref="V10:V13"/>
    <mergeCell ref="U14:U17"/>
    <mergeCell ref="V14:V17"/>
    <mergeCell ref="U6:U9"/>
    <mergeCell ref="V6:V9"/>
    <mergeCell ref="A54:A57"/>
    <mergeCell ref="B54:B57"/>
    <mergeCell ref="C54:C57"/>
    <mergeCell ref="D54:D57"/>
    <mergeCell ref="A58:A61"/>
    <mergeCell ref="B58:B61"/>
    <mergeCell ref="C58:C61"/>
    <mergeCell ref="D58:D61"/>
    <mergeCell ref="A74:A77"/>
    <mergeCell ref="B74:B77"/>
    <mergeCell ref="C74:C77"/>
    <mergeCell ref="D74:D77"/>
    <mergeCell ref="A62:A65"/>
    <mergeCell ref="B62:B65"/>
    <mergeCell ref="C62:C65"/>
    <mergeCell ref="D62:D65"/>
    <mergeCell ref="A66:A69"/>
    <mergeCell ref="B66:B69"/>
    <mergeCell ref="C66:C69"/>
    <mergeCell ref="D66:D69"/>
    <mergeCell ref="A70:A73"/>
    <mergeCell ref="B70:B73"/>
    <mergeCell ref="C70:C73"/>
    <mergeCell ref="D70:D73"/>
    <mergeCell ref="D46:D49"/>
    <mergeCell ref="A50:A53"/>
    <mergeCell ref="B50:B53"/>
    <mergeCell ref="C50:C53"/>
    <mergeCell ref="D50:D53"/>
    <mergeCell ref="A46:A49"/>
    <mergeCell ref="B46:B49"/>
    <mergeCell ref="C46:C49"/>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A26:A29"/>
    <mergeCell ref="B26:B29"/>
    <mergeCell ref="C26:C29"/>
    <mergeCell ref="D26:D29"/>
    <mergeCell ref="A22:A25"/>
    <mergeCell ref="B22:B25"/>
    <mergeCell ref="C22:C25"/>
    <mergeCell ref="D22:D25"/>
    <mergeCell ref="A18:A21"/>
    <mergeCell ref="B18:B21"/>
    <mergeCell ref="C18:C21"/>
    <mergeCell ref="D18:D21"/>
    <mergeCell ref="A6:A9"/>
    <mergeCell ref="B6:B9"/>
    <mergeCell ref="A14:A17"/>
    <mergeCell ref="B14:B17"/>
    <mergeCell ref="C14:C17"/>
    <mergeCell ref="D14:D17"/>
    <mergeCell ref="A10:A13"/>
    <mergeCell ref="B10:B13"/>
    <mergeCell ref="C10:C13"/>
    <mergeCell ref="D10:D13"/>
    <mergeCell ref="C4:C5"/>
    <mergeCell ref="C6:C9"/>
    <mergeCell ref="D4:D5"/>
    <mergeCell ref="D6:D9"/>
    <mergeCell ref="R2:R4"/>
    <mergeCell ref="S2:S4"/>
    <mergeCell ref="T2:T4"/>
    <mergeCell ref="A4:A5"/>
    <mergeCell ref="B4:B5"/>
    <mergeCell ref="J3:Q3"/>
    <mergeCell ref="E4:E5"/>
    <mergeCell ref="J4:N4"/>
    <mergeCell ref="O4:Q4"/>
    <mergeCell ref="F4:H4"/>
  </mergeCells>
  <phoneticPr fontId="0" type="noConversion"/>
  <conditionalFormatting sqref="C6:D6 U6:V6 C10:D10 C14:D14 C18:D18 C22:D22 C26:D26 C30:D30 C34:D34 C38:D38 C42:D42 C46:D46 C50:D50 C54:D54 C58:D58 C62:D62 C66:D66 C70:D70 C74:D74">
    <cfRule type="cellIs" dxfId="135" priority="264" operator="between">
      <formula>$Y$4</formula>
      <formula>$Z$4</formula>
    </cfRule>
    <cfRule type="cellIs" dxfId="134" priority="265" operator="between">
      <formula>$Y$5</formula>
      <formula>$Z$5</formula>
    </cfRule>
    <cfRule type="cellIs" dxfId="133" priority="266" operator="between">
      <formula>$Y$6</formula>
      <formula>$Z$6</formula>
    </cfRule>
    <cfRule type="cellIs" dxfId="132" priority="267" operator="between">
      <formula>$Y$7</formula>
      <formula>$Z$7</formula>
    </cfRule>
    <cfRule type="cellIs" dxfId="131" priority="268" operator="between">
      <formula>$Y$8</formula>
      <formula>$Z$8</formula>
    </cfRule>
  </conditionalFormatting>
  <conditionalFormatting sqref="U10:V10">
    <cfRule type="cellIs" dxfId="130" priority="86" operator="between">
      <formula>$Y$4</formula>
      <formula>$Z$4</formula>
    </cfRule>
    <cfRule type="cellIs" dxfId="129" priority="87" operator="between">
      <formula>$Y$5</formula>
      <formula>$Z$5</formula>
    </cfRule>
    <cfRule type="cellIs" dxfId="128" priority="88" operator="between">
      <formula>$Y$6</formula>
      <formula>$Z$6</formula>
    </cfRule>
    <cfRule type="cellIs" dxfId="127" priority="89" operator="between">
      <formula>$Y$7</formula>
      <formula>$Z$7</formula>
    </cfRule>
    <cfRule type="cellIs" dxfId="126" priority="90" operator="between">
      <formula>$Y$8</formula>
      <formula>$Z$8</formula>
    </cfRule>
  </conditionalFormatting>
  <conditionalFormatting sqref="U14:V14">
    <cfRule type="cellIs" dxfId="125" priority="81" operator="between">
      <formula>$Y$4</formula>
      <formula>$Z$4</formula>
    </cfRule>
    <cfRule type="cellIs" dxfId="124" priority="82" operator="between">
      <formula>$Y$5</formula>
      <formula>$Z$5</formula>
    </cfRule>
    <cfRule type="cellIs" dxfId="123" priority="83" operator="between">
      <formula>$Y$6</formula>
      <formula>$Z$6</formula>
    </cfRule>
    <cfRule type="cellIs" dxfId="122" priority="84" operator="between">
      <formula>$Y$7</formula>
      <formula>$Z$7</formula>
    </cfRule>
    <cfRule type="cellIs" dxfId="121" priority="85" operator="between">
      <formula>$Y$8</formula>
      <formula>$Z$8</formula>
    </cfRule>
  </conditionalFormatting>
  <conditionalFormatting sqref="U18:V18">
    <cfRule type="cellIs" dxfId="120" priority="76" operator="between">
      <formula>$Y$4</formula>
      <formula>$Z$4</formula>
    </cfRule>
    <cfRule type="cellIs" dxfId="119" priority="77" operator="between">
      <formula>$Y$5</formula>
      <formula>$Z$5</formula>
    </cfRule>
    <cfRule type="cellIs" dxfId="118" priority="78" operator="between">
      <formula>$Y$6</formula>
      <formula>$Z$6</formula>
    </cfRule>
    <cfRule type="cellIs" dxfId="117" priority="79" operator="between">
      <formula>$Y$7</formula>
      <formula>$Z$7</formula>
    </cfRule>
    <cfRule type="cellIs" dxfId="116" priority="80" operator="between">
      <formula>$Y$8</formula>
      <formula>$Z$8</formula>
    </cfRule>
  </conditionalFormatting>
  <conditionalFormatting sqref="U22:V22">
    <cfRule type="cellIs" dxfId="115" priority="71" operator="between">
      <formula>$Y$4</formula>
      <formula>$Z$4</formula>
    </cfRule>
    <cfRule type="cellIs" dxfId="114" priority="72" operator="between">
      <formula>$Y$5</formula>
      <formula>$Z$5</formula>
    </cfRule>
    <cfRule type="cellIs" dxfId="113" priority="73" operator="between">
      <formula>$Y$6</formula>
      <formula>$Z$6</formula>
    </cfRule>
    <cfRule type="cellIs" dxfId="112" priority="74" operator="between">
      <formula>$Y$7</formula>
      <formula>$Z$7</formula>
    </cfRule>
    <cfRule type="cellIs" dxfId="111" priority="75" operator="between">
      <formula>$Y$8</formula>
      <formula>$Z$8</formula>
    </cfRule>
  </conditionalFormatting>
  <conditionalFormatting sqref="U26:V26">
    <cfRule type="cellIs" dxfId="110" priority="66" operator="between">
      <formula>$Y$4</formula>
      <formula>$Z$4</formula>
    </cfRule>
    <cfRule type="cellIs" dxfId="109" priority="67" operator="between">
      <formula>$Y$5</formula>
      <formula>$Z$5</formula>
    </cfRule>
    <cfRule type="cellIs" dxfId="108" priority="68" operator="between">
      <formula>$Y$6</formula>
      <formula>$Z$6</formula>
    </cfRule>
    <cfRule type="cellIs" dxfId="107" priority="69" operator="between">
      <formula>$Y$7</formula>
      <formula>$Z$7</formula>
    </cfRule>
    <cfRule type="cellIs" dxfId="106" priority="70" operator="between">
      <formula>$Y$8</formula>
      <formula>$Z$8</formula>
    </cfRule>
  </conditionalFormatting>
  <conditionalFormatting sqref="U30:V30">
    <cfRule type="cellIs" dxfId="105" priority="56" operator="between">
      <formula>$Y$4</formula>
      <formula>$Z$4</formula>
    </cfRule>
    <cfRule type="cellIs" dxfId="104" priority="57" operator="between">
      <formula>$Y$5</formula>
      <formula>$Z$5</formula>
    </cfRule>
    <cfRule type="cellIs" dxfId="103" priority="58" operator="between">
      <formula>$Y$6</formula>
      <formula>$Z$6</formula>
    </cfRule>
    <cfRule type="cellIs" dxfId="102" priority="59" operator="between">
      <formula>$Y$7</formula>
      <formula>$Z$7</formula>
    </cfRule>
    <cfRule type="cellIs" dxfId="101" priority="60" operator="between">
      <formula>$Y$8</formula>
      <formula>$Z$8</formula>
    </cfRule>
  </conditionalFormatting>
  <conditionalFormatting sqref="U34:V34">
    <cfRule type="cellIs" dxfId="100" priority="51" operator="between">
      <formula>$Y$4</formula>
      <formula>$Z$4</formula>
    </cfRule>
    <cfRule type="cellIs" dxfId="99" priority="52" operator="between">
      <formula>$Y$5</formula>
      <formula>$Z$5</formula>
    </cfRule>
    <cfRule type="cellIs" dxfId="98" priority="53" operator="between">
      <formula>$Y$6</formula>
      <formula>$Z$6</formula>
    </cfRule>
    <cfRule type="cellIs" dxfId="97" priority="54" operator="between">
      <formula>$Y$7</formula>
      <formula>$Z$7</formula>
    </cfRule>
    <cfRule type="cellIs" dxfId="96" priority="55" operator="between">
      <formula>$Y$8</formula>
      <formula>$Z$8</formula>
    </cfRule>
  </conditionalFormatting>
  <conditionalFormatting sqref="U38:V38">
    <cfRule type="cellIs" dxfId="95" priority="46" operator="between">
      <formula>$Y$4</formula>
      <formula>$Z$4</formula>
    </cfRule>
    <cfRule type="cellIs" dxfId="94" priority="47" operator="between">
      <formula>$Y$5</formula>
      <formula>$Z$5</formula>
    </cfRule>
    <cfRule type="cellIs" dxfId="93" priority="48" operator="between">
      <formula>$Y$6</formula>
      <formula>$Z$6</formula>
    </cfRule>
    <cfRule type="cellIs" dxfId="92" priority="49" operator="between">
      <formula>$Y$7</formula>
      <formula>$Z$7</formula>
    </cfRule>
    <cfRule type="cellIs" dxfId="91" priority="50" operator="between">
      <formula>$Y$8</formula>
      <formula>$Z$8</formula>
    </cfRule>
  </conditionalFormatting>
  <conditionalFormatting sqref="U42:V42">
    <cfRule type="cellIs" dxfId="90" priority="41" operator="between">
      <formula>$Y$4</formula>
      <formula>$Z$4</formula>
    </cfRule>
    <cfRule type="cellIs" dxfId="89" priority="42" operator="between">
      <formula>$Y$5</formula>
      <formula>$Z$5</formula>
    </cfRule>
    <cfRule type="cellIs" dxfId="88" priority="43" operator="between">
      <formula>$Y$6</formula>
      <formula>$Z$6</formula>
    </cfRule>
    <cfRule type="cellIs" dxfId="87" priority="44" operator="between">
      <formula>$Y$7</formula>
      <formula>$Z$7</formula>
    </cfRule>
    <cfRule type="cellIs" dxfId="86" priority="45" operator="between">
      <formula>$Y$8</formula>
      <formula>$Z$8</formula>
    </cfRule>
  </conditionalFormatting>
  <conditionalFormatting sqref="U46:V46">
    <cfRule type="cellIs" dxfId="85" priority="36" operator="between">
      <formula>$Y$4</formula>
      <formula>$Z$4</formula>
    </cfRule>
    <cfRule type="cellIs" dxfId="84" priority="37" operator="between">
      <formula>$Y$5</formula>
      <formula>$Z$5</formula>
    </cfRule>
    <cfRule type="cellIs" dxfId="83" priority="38" operator="between">
      <formula>$Y$6</formula>
      <formula>$Z$6</formula>
    </cfRule>
    <cfRule type="cellIs" dxfId="82" priority="39" operator="between">
      <formula>$Y$7</formula>
      <formula>$Z$7</formula>
    </cfRule>
    <cfRule type="cellIs" dxfId="81" priority="40" operator="between">
      <formula>$Y$8</formula>
      <formula>$Z$8</formula>
    </cfRule>
  </conditionalFormatting>
  <conditionalFormatting sqref="U50:V50">
    <cfRule type="cellIs" dxfId="80" priority="31" operator="between">
      <formula>$Y$4</formula>
      <formula>$Z$4</formula>
    </cfRule>
    <cfRule type="cellIs" dxfId="79" priority="32" operator="between">
      <formula>$Y$5</formula>
      <formula>$Z$5</formula>
    </cfRule>
    <cfRule type="cellIs" dxfId="78" priority="33" operator="between">
      <formula>$Y$6</formula>
      <formula>$Z$6</formula>
    </cfRule>
    <cfRule type="cellIs" dxfId="77" priority="34" operator="between">
      <formula>$Y$7</formula>
      <formula>$Z$7</formula>
    </cfRule>
    <cfRule type="cellIs" dxfId="76" priority="35" operator="between">
      <formula>$Y$8</formula>
      <formula>$Z$8</formula>
    </cfRule>
  </conditionalFormatting>
  <conditionalFormatting sqref="U54:V54">
    <cfRule type="cellIs" dxfId="75" priority="26" operator="between">
      <formula>$Y$4</formula>
      <formula>$Z$4</formula>
    </cfRule>
    <cfRule type="cellIs" dxfId="74" priority="27" operator="between">
      <formula>$Y$5</formula>
      <formula>$Z$5</formula>
    </cfRule>
    <cfRule type="cellIs" dxfId="73" priority="28" operator="between">
      <formula>$Y$6</formula>
      <formula>$Z$6</formula>
    </cfRule>
    <cfRule type="cellIs" dxfId="72" priority="29" operator="between">
      <formula>$Y$7</formula>
      <formula>$Z$7</formula>
    </cfRule>
    <cfRule type="cellIs" dxfId="71" priority="30" operator="between">
      <formula>$Y$8</formula>
      <formula>$Z$8</formula>
    </cfRule>
  </conditionalFormatting>
  <conditionalFormatting sqref="U58:V58">
    <cfRule type="cellIs" dxfId="70" priority="21" operator="between">
      <formula>$Y$4</formula>
      <formula>$Z$4</formula>
    </cfRule>
    <cfRule type="cellIs" dxfId="69" priority="22" operator="between">
      <formula>$Y$5</formula>
      <formula>$Z$5</formula>
    </cfRule>
    <cfRule type="cellIs" dxfId="68" priority="23" operator="between">
      <formula>$Y$6</formula>
      <formula>$Z$6</formula>
    </cfRule>
    <cfRule type="cellIs" dxfId="67" priority="24" operator="between">
      <formula>$Y$7</formula>
      <formula>$Z$7</formula>
    </cfRule>
    <cfRule type="cellIs" dxfId="66" priority="25" operator="between">
      <formula>$Y$8</formula>
      <formula>$Z$8</formula>
    </cfRule>
  </conditionalFormatting>
  <conditionalFormatting sqref="U62:V62">
    <cfRule type="cellIs" dxfId="65" priority="16" operator="between">
      <formula>$Y$4</formula>
      <formula>$Z$4</formula>
    </cfRule>
    <cfRule type="cellIs" dxfId="64" priority="17" operator="between">
      <formula>$Y$5</formula>
      <formula>$Z$5</formula>
    </cfRule>
    <cfRule type="cellIs" dxfId="63" priority="18" operator="between">
      <formula>$Y$6</formula>
      <formula>$Z$6</formula>
    </cfRule>
    <cfRule type="cellIs" dxfId="62" priority="19" operator="between">
      <formula>$Y$7</formula>
      <formula>$Z$7</formula>
    </cfRule>
    <cfRule type="cellIs" dxfId="61" priority="20" operator="between">
      <formula>$Y$8</formula>
      <formula>$Z$8</formula>
    </cfRule>
  </conditionalFormatting>
  <conditionalFormatting sqref="U66:V66">
    <cfRule type="cellIs" dxfId="60" priority="11" operator="between">
      <formula>$Y$4</formula>
      <formula>$Z$4</formula>
    </cfRule>
    <cfRule type="cellIs" dxfId="59" priority="12" operator="between">
      <formula>$Y$5</formula>
      <formula>$Z$5</formula>
    </cfRule>
    <cfRule type="cellIs" dxfId="58" priority="13" operator="between">
      <formula>$Y$6</formula>
      <formula>$Z$6</formula>
    </cfRule>
    <cfRule type="cellIs" dxfId="57" priority="14" operator="between">
      <formula>$Y$7</formula>
      <formula>$Z$7</formula>
    </cfRule>
    <cfRule type="cellIs" dxfId="56" priority="15" operator="between">
      <formula>$Y$8</formula>
      <formula>$Z$8</formula>
    </cfRule>
  </conditionalFormatting>
  <conditionalFormatting sqref="U70:V70">
    <cfRule type="cellIs" dxfId="55" priority="6" operator="between">
      <formula>$Y$4</formula>
      <formula>$Z$4</formula>
    </cfRule>
    <cfRule type="cellIs" dxfId="54" priority="7" operator="between">
      <formula>$Y$5</formula>
      <formula>$Z$5</formula>
    </cfRule>
    <cfRule type="cellIs" dxfId="53" priority="8" operator="between">
      <formula>$Y$6</formula>
      <formula>$Z$6</formula>
    </cfRule>
    <cfRule type="cellIs" dxfId="52" priority="9" operator="between">
      <formula>$Y$7</formula>
      <formula>$Z$7</formula>
    </cfRule>
    <cfRule type="cellIs" dxfId="51" priority="10" operator="between">
      <formula>$Y$8</formula>
      <formula>$Z$8</formula>
    </cfRule>
  </conditionalFormatting>
  <conditionalFormatting sqref="U74:V74">
    <cfRule type="cellIs" dxfId="50" priority="1" operator="between">
      <formula>$Y$4</formula>
      <formula>$Z$4</formula>
    </cfRule>
    <cfRule type="cellIs" dxfId="49" priority="2" operator="between">
      <formula>$Y$5</formula>
      <formula>$Z$5</formula>
    </cfRule>
    <cfRule type="cellIs" dxfId="48" priority="3" operator="between">
      <formula>$Y$6</formula>
      <formula>$Z$6</formula>
    </cfRule>
    <cfRule type="cellIs" dxfId="47" priority="4" operator="between">
      <formula>$Y$7</formula>
      <formula>$Z$7</formula>
    </cfRule>
    <cfRule type="cellIs" dxfId="46" priority="5" operator="between">
      <formula>$Y$8</formula>
      <formula>$Z$8</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1"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J6:J77</xm:sqref>
        </x14:dataValidation>
        <x14:dataValidation type="list" allowBlank="1" showInputMessage="1" showErrorMessage="1" xr:uid="{00000000-0002-0000-0400-000001000000}">
          <x14:formula1>
            <xm:f>'11 FORMULAS'!$H$4:$H$6</xm:f>
          </x14:formula1>
          <xm:sqref>M6:M77</xm:sqref>
        </x14:dataValidation>
        <x14:dataValidation type="list" allowBlank="1" showInputMessage="1" showErrorMessage="1" xr:uid="{00000000-0002-0000-0400-000002000000}">
          <x14:formula1>
            <xm:f>'11 FORMULAS'!$K$4:$K$6</xm:f>
          </x14:formula1>
          <xm:sqref>O6:O77</xm:sqref>
        </x14:dataValidation>
        <x14:dataValidation type="list" allowBlank="1" showInputMessage="1" showErrorMessage="1" xr:uid="{00000000-0002-0000-0400-000003000000}">
          <x14:formula1>
            <xm:f>'11 FORMULAS'!$L$4:$L$6</xm:f>
          </x14:formula1>
          <xm:sqref>P6:P77</xm:sqref>
        </x14:dataValidation>
        <x14:dataValidation type="list" allowBlank="1" showInputMessage="1" showErrorMessage="1" xr:uid="{00000000-0002-0000-0400-000004000000}">
          <x14:formula1>
            <xm:f>'11 FORMULAS'!$M$4:$M$6</xm:f>
          </x14:formula1>
          <xm:sqref>Q6:Q77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topLeftCell="A11" zoomScale="85" zoomScaleNormal="85" workbookViewId="0">
      <selection activeCell="A14" sqref="A14:G14"/>
    </sheetView>
  </sheetViews>
  <sheetFormatPr baseColWidth="10" defaultColWidth="14.28515625" defaultRowHeight="12.75" x14ac:dyDescent="0.25"/>
  <cols>
    <col min="1" max="1" width="20.85546875" style="82" customWidth="1"/>
    <col min="2" max="2" width="26.28515625" style="82" customWidth="1"/>
    <col min="3" max="3" width="21.42578125" style="82" customWidth="1"/>
    <col min="4" max="4" width="25" style="82" customWidth="1"/>
    <col min="5" max="5" width="16.42578125" style="82" customWidth="1"/>
    <col min="6" max="6" width="13.85546875" style="82" customWidth="1"/>
    <col min="7" max="7" width="15.5703125" style="82" customWidth="1"/>
    <col min="8" max="8" width="12.28515625" style="82" customWidth="1"/>
    <col min="9" max="9" width="7.42578125" style="82" customWidth="1"/>
    <col min="10" max="10" width="14" style="82" customWidth="1"/>
    <col min="11" max="15" width="12.42578125" style="82" customWidth="1"/>
    <col min="16" max="16" width="3.85546875" style="82" customWidth="1"/>
    <col min="17" max="17" width="4.85546875" style="82" customWidth="1"/>
    <col min="18" max="18" width="8.140625" style="82" customWidth="1"/>
    <col min="19" max="24" width="14" style="82" customWidth="1"/>
    <col min="25" max="29" width="11.42578125" style="82" customWidth="1"/>
    <col min="30" max="30" width="5.5703125" style="82" bestFit="1" customWidth="1"/>
    <col min="31" max="31" width="26.85546875" style="82" customWidth="1"/>
    <col min="32" max="36" width="22.85546875" style="82" customWidth="1"/>
    <col min="37" max="37" width="23.42578125" style="82" customWidth="1"/>
    <col min="38" max="265" width="11.42578125" style="82" customWidth="1"/>
    <col min="266" max="266" width="12.7109375" style="82" customWidth="1"/>
    <col min="267" max="267" width="47" style="82" customWidth="1"/>
    <col min="268" max="268" width="35" style="82" customWidth="1"/>
    <col min="269" max="16384" width="14.28515625" style="82"/>
  </cols>
  <sheetData>
    <row r="1" spans="1:38" s="68" customFormat="1" x14ac:dyDescent="0.25">
      <c r="B1" s="69"/>
      <c r="C1" s="214"/>
      <c r="D1" s="214"/>
      <c r="F1" s="214"/>
      <c r="G1" s="214"/>
      <c r="H1" s="327"/>
      <c r="I1" s="227"/>
      <c r="J1" s="327"/>
      <c r="K1" s="69"/>
      <c r="L1" s="69"/>
      <c r="M1" s="69"/>
      <c r="N1" s="69"/>
      <c r="O1" s="69"/>
      <c r="P1" s="69"/>
    </row>
    <row r="2" spans="1:38" s="68" customFormat="1" ht="20.25" customHeight="1" x14ac:dyDescent="0.25">
      <c r="A2" s="144" t="s">
        <v>149</v>
      </c>
      <c r="B2" s="493" t="str">
        <f>+IF('2 CONTEXTO E IDENTIFICACIÓN'!$B$2="","",'2 CONTEXTO E IDENTIFICACIÓN'!$B$2)</f>
        <v xml:space="preserve">GESTIÓN DE SERVICIOS PUBLICOS </v>
      </c>
      <c r="C2" s="493"/>
      <c r="D2" s="493"/>
      <c r="E2" s="324"/>
      <c r="F2" s="69"/>
    </row>
    <row r="3" spans="1:38" s="68" customFormat="1" ht="9" customHeight="1" thickBot="1" x14ac:dyDescent="0.3">
      <c r="A3" s="218"/>
      <c r="B3" s="494"/>
      <c r="C3" s="494"/>
      <c r="D3" s="494"/>
      <c r="E3" s="324"/>
      <c r="F3" s="69"/>
    </row>
    <row r="4" spans="1:38" s="68" customFormat="1" ht="13.5" thickBot="1" x14ac:dyDescent="0.3">
      <c r="D4" s="69"/>
      <c r="E4" s="214"/>
      <c r="F4" s="69"/>
      <c r="I4" s="497" t="s">
        <v>18</v>
      </c>
      <c r="J4" s="498"/>
      <c r="K4" s="498"/>
      <c r="L4" s="498"/>
      <c r="M4" s="498"/>
      <c r="N4" s="498"/>
      <c r="O4" s="499"/>
      <c r="R4" s="351"/>
      <c r="S4" s="352"/>
      <c r="T4" s="447" t="s">
        <v>81</v>
      </c>
      <c r="U4" s="447"/>
      <c r="V4" s="447"/>
      <c r="W4" s="447"/>
      <c r="X4" s="448"/>
    </row>
    <row r="5" spans="1:38" x14ac:dyDescent="0.25">
      <c r="A5" s="74"/>
      <c r="B5" s="74"/>
      <c r="C5" s="74"/>
      <c r="D5" s="74"/>
      <c r="E5" s="495" t="s">
        <v>112</v>
      </c>
      <c r="F5" s="495"/>
      <c r="G5" s="495"/>
      <c r="H5" s="74"/>
      <c r="I5" s="328"/>
      <c r="J5" s="329"/>
      <c r="K5" s="447" t="s">
        <v>81</v>
      </c>
      <c r="L5" s="447"/>
      <c r="M5" s="447"/>
      <c r="N5" s="447"/>
      <c r="O5" s="448"/>
      <c r="P5" s="74"/>
      <c r="R5" s="330"/>
      <c r="T5" s="79">
        <v>0.2</v>
      </c>
      <c r="U5" s="79">
        <v>0.4</v>
      </c>
      <c r="V5" s="79">
        <v>0.6</v>
      </c>
      <c r="W5" s="79">
        <v>0.8</v>
      </c>
      <c r="X5" s="80">
        <v>1</v>
      </c>
      <c r="Y5" s="331"/>
      <c r="Z5" s="331"/>
      <c r="AA5" s="331"/>
      <c r="AB5" s="331"/>
      <c r="AC5" s="331"/>
      <c r="AD5" s="331"/>
      <c r="AE5" s="331"/>
    </row>
    <row r="6" spans="1:38" ht="39.950000000000003" customHeight="1" x14ac:dyDescent="0.25">
      <c r="A6" s="83" t="s">
        <v>187</v>
      </c>
      <c r="B6" s="83" t="s">
        <v>1</v>
      </c>
      <c r="C6" s="83" t="s">
        <v>9</v>
      </c>
      <c r="D6" s="83" t="s">
        <v>9</v>
      </c>
      <c r="E6" s="83" t="s">
        <v>48</v>
      </c>
      <c r="F6" s="83" t="s">
        <v>81</v>
      </c>
      <c r="G6" s="83" t="s">
        <v>195</v>
      </c>
      <c r="H6" s="74"/>
      <c r="I6" s="330"/>
      <c r="J6" s="83"/>
      <c r="K6" s="332" t="s">
        <v>59</v>
      </c>
      <c r="L6" s="332" t="s">
        <v>7</v>
      </c>
      <c r="M6" s="332" t="s">
        <v>5</v>
      </c>
      <c r="N6" s="332" t="s">
        <v>6</v>
      </c>
      <c r="O6" s="333" t="s">
        <v>67</v>
      </c>
      <c r="P6" s="74"/>
      <c r="R6" s="330"/>
      <c r="S6" s="325"/>
      <c r="T6" s="334" t="s">
        <v>59</v>
      </c>
      <c r="U6" s="334" t="s">
        <v>7</v>
      </c>
      <c r="V6" s="334" t="s">
        <v>5</v>
      </c>
      <c r="W6" s="334" t="s">
        <v>6</v>
      </c>
      <c r="X6" s="335" t="s">
        <v>67</v>
      </c>
      <c r="AA6" s="331"/>
      <c r="AB6" s="331"/>
      <c r="AC6" s="98"/>
      <c r="AD6" s="98"/>
      <c r="AE6" s="98"/>
      <c r="AF6" s="98"/>
      <c r="AG6" s="98"/>
      <c r="AH6" s="98"/>
      <c r="AI6" s="98"/>
      <c r="AJ6" s="98"/>
      <c r="AK6" s="98"/>
      <c r="AL6" s="98"/>
    </row>
    <row r="7" spans="1:38" ht="165" customHeight="1" x14ac:dyDescent="0.25">
      <c r="A7" s="91" t="str">
        <f>'2 CONTEXTO E IDENTIFICACIÓN'!A6</f>
        <v>R1</v>
      </c>
      <c r="B7" s="325" t="str">
        <f>+'2 CONTEXTO E IDENTIFICACIÓN'!E6</f>
        <v>Posibilidad de pérdida Económica y Reputacional por contaminación ambiental a causa de las descargas de aguas residuales debido a la falta de seguimiento y control a los vertimientos realizados por usuarios diferentes al residencial que hacen uso del alcantarillado público y a la infraestructura de las redes de alcantarillado en condiciones inadecuadas.</v>
      </c>
      <c r="C7" s="121">
        <f>+'5 VALORACIÓN DEL CONTROL'!S9</f>
        <v>0.4</v>
      </c>
      <c r="D7" s="93">
        <f>+'5 VALORACIÓN DEL CONTROL'!T9</f>
        <v>0.33750000000000002</v>
      </c>
      <c r="E7" s="93" t="str">
        <f>+IF(C7=0,"",IF(C7&lt;=$R$11,$S$11,IF(C7&lt;=$R$10,$S$10,IF(C7&lt;=$R$9,$S$9,IF(C7&lt;=$R$8,$S$8,IF(C7&lt;=$R$7,$S$7,""))))))</f>
        <v>Baja</v>
      </c>
      <c r="F7" s="93" t="str">
        <f>+IF(D7=0,"",IF(D7&lt;=$T$5,$T$6,IF(D7&lt;=$U$5,$U$6,IF(D7&lt;=$V$5,$V$6,IF(D7&lt;=$W$5,$W$6,IF(D7&lt;=$X$5,$X$6,""))))))</f>
        <v>Menor</v>
      </c>
      <c r="G7" s="325" t="str">
        <f>+IF(E7=$S$7,IF(F7=$T$6,$T$7,IF(F7=$U$6,$U$7,IF(F7=$V$6,$V$7,IF(F7=$W$6,$W$7,IF(F7=$X$6,$X$7))))),IF(E7=$S$8,IF(F7=$T$6,$T$8,IF(F7=$U$6,$U$8,IF(F7=$V$6,$V$8,IF(F7=$W$6,$W$8,IF(F7=$X$6,$X$8))))),IF(E7=$S$9,IF(F7=$T$6,$T$9,IF(F7=$U$6,$U$9,IF(F7=$V$6,$V$9,IF(F7=$W$6,$W$9,IF(F7=$X$6,$X$9))))),IF(E7=$S$10,IF(F7=$T$6,$T$10,IF(F7=$U$6,$U$10,IF(F7=$V$6,$V$10,IF(F7=$W$6,$W$10,IF(F7=$X$6,$X$10))))),IF(E7=$S$11,IF(F7=$T$6,$T$11,IF(F7=$U$6,$U$11,IF(F7=$V$6,$V$11,IF(F7=$W$6,$W$11,IF(F7=$X$6,$X$11))))),"")))))</f>
        <v>Moderado</v>
      </c>
      <c r="I7" s="452" t="s">
        <v>48</v>
      </c>
      <c r="J7" s="332" t="s">
        <v>56</v>
      </c>
      <c r="K7" s="336"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336"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336"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336"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337"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Q7" s="496" t="s">
        <v>48</v>
      </c>
      <c r="R7" s="97">
        <v>1</v>
      </c>
      <c r="S7" s="334" t="s">
        <v>56</v>
      </c>
      <c r="T7" s="336" t="s">
        <v>79</v>
      </c>
      <c r="U7" s="336" t="s">
        <v>79</v>
      </c>
      <c r="V7" s="336" t="s">
        <v>79</v>
      </c>
      <c r="W7" s="336" t="s">
        <v>79</v>
      </c>
      <c r="X7" s="337" t="s">
        <v>78</v>
      </c>
      <c r="AA7" s="331"/>
      <c r="AB7" s="331"/>
      <c r="AC7" s="98"/>
      <c r="AD7" s="98"/>
      <c r="AE7" s="98"/>
      <c r="AF7" s="98"/>
      <c r="AG7" s="98"/>
      <c r="AH7" s="98"/>
      <c r="AI7" s="98"/>
      <c r="AJ7" s="98"/>
      <c r="AK7" s="98"/>
      <c r="AL7" s="98"/>
    </row>
    <row r="8" spans="1:38" x14ac:dyDescent="0.25">
      <c r="A8" s="91"/>
      <c r="B8" s="325"/>
      <c r="C8" s="121"/>
      <c r="D8" s="93"/>
      <c r="E8" s="93"/>
      <c r="F8" s="93" t="str">
        <f t="shared" ref="F8:F26" si="0">+IF(D8=0,"",IF(D8&lt;=$T$5,$T$6,IF(D8&lt;=$U$5,$U$6,IF(D8&lt;=$V$5,$V$6,IF(D8&lt;=$W$5,$W$6,IF(D8&lt;=$X$5,$X$6,""))))))</f>
        <v/>
      </c>
      <c r="G8" s="325" t="str">
        <f>+IF(E8=$S$7,IF(F8=$T$6,$T$7,IF(F8=$U$6,$U$7,IF(F8=$V$6,$V$7,IF(F8=$W$6,$W$7,IF(F8=$X$6,$X$7))))),IF(E8=$S$8,IF(F8=$T$6,$T$8,IF(F8=$U$6,$U$8,IF(F8=$V$6,$V$8,IF(F8=$W$6,$W$8,IF(F8=$X$6,$X$8))))),IF(E8=$S$9,IF(F8=$T$6,$T$9,IF(F8=$U$6,$U$9,IF(F8=$V$6,$V$9,IF(F8=$W$6,$W$9,IF(F8=$X$6,$X$9))))),IF(E8=$S$10,IF(F8=$T$6,$T$10,IF(F8=$U$6,$U$10,IF(F8=$V$6,$V$10,IF(F8=$W$6,$W$10,IF(F8=$X$6,$X$10))))),IF(E8=$S$11,IF(F8=$T$6,$T$11,IF(F8=$U$6,$U$11,IF(F8=$V$6,$V$11,IF(F8=$W$6,$W$11,IF(F8=$X$6,$X$11))))),"")))))</f>
        <v/>
      </c>
      <c r="I8" s="452"/>
      <c r="J8" s="332" t="s">
        <v>55</v>
      </c>
      <c r="K8" s="338"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338"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336"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336"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337"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Q8" s="496"/>
      <c r="R8" s="97">
        <v>0.8</v>
      </c>
      <c r="S8" s="334" t="s">
        <v>55</v>
      </c>
      <c r="T8" s="338" t="s">
        <v>5</v>
      </c>
      <c r="U8" s="338" t="s">
        <v>5</v>
      </c>
      <c r="V8" s="336" t="s">
        <v>79</v>
      </c>
      <c r="W8" s="336" t="s">
        <v>79</v>
      </c>
      <c r="X8" s="337" t="s">
        <v>78</v>
      </c>
      <c r="AA8" s="331"/>
      <c r="AB8" s="331"/>
      <c r="AC8" s="98"/>
      <c r="AD8" s="339"/>
      <c r="AE8" s="101"/>
      <c r="AF8" s="98"/>
      <c r="AG8" s="98"/>
      <c r="AH8" s="98"/>
      <c r="AI8" s="98"/>
      <c r="AJ8" s="98"/>
      <c r="AK8" s="98"/>
      <c r="AL8" s="98"/>
    </row>
    <row r="9" spans="1:38" ht="141.75" customHeight="1" x14ac:dyDescent="0.25">
      <c r="A9" s="91" t="str">
        <f>'2 CONTEXTO E IDENTIFICACIÓN'!A7</f>
        <v>R2</v>
      </c>
      <c r="B9" s="325" t="str">
        <f>+'2 CONTEXTO E IDENTIFICACIÓN'!E7</f>
        <v>Posibilidad de pérdida Económica y Reputacional por la atención inoportuna de las solicitudes de reparación de alcantarillado debido a la falta de seguimiento a las ordenes de trabajo generadas, falta de personal operativo para los grupos de trabajo y falta de asignación de recursos o de disponibilidad de materiales.</v>
      </c>
      <c r="C9" s="121">
        <f>+'5 VALORACIÓN DEL CONTROL'!S13</f>
        <v>0.6</v>
      </c>
      <c r="D9" s="93">
        <f>+'5 VALORACIÓN DEL CONTROL'!T13</f>
        <v>0.25312500000000004</v>
      </c>
      <c r="E9" s="93" t="str">
        <f>+IF(C9=0,"",IF(C9&lt;=$R$11,$S$11,IF(C9&lt;=$R$10,$S$10,IF(C9&lt;=$R$9,$S$9,IF(C9&lt;=$R$8,$S$8,IF(C9&lt;=$R$7,$S$7,""))))))</f>
        <v>Media</v>
      </c>
      <c r="F9" s="93" t="str">
        <f>+IF(D9=0,"",IF(D9&lt;=$T$5,$T$6,IF(D9&lt;=$U$5,$U$6,IF(D9&lt;=$V$5,$V$6,IF(D9&lt;=$W$5,$W$6,IF(D9&lt;=$X$5,$X$6,""))))))</f>
        <v>Menor</v>
      </c>
      <c r="G9" s="325" t="str">
        <f>+IF(E9=$S$7,IF(F9=$T$6,$T$7,IF(F9=$U$6,$U$7,IF(F9=$V$6,$V$7,IF(F9=$W$6,$W$7,IF(F9=$X$6,$X$7))))),IF(E9=$S$8,IF(F9=$T$6,$T$8,IF(F9=$U$6,$U$8,IF(F9=$V$6,$V$8,IF(F9=$W$6,$W$8,IF(F9=$X$6,$X$8))))),IF(E9=$S$9,IF(F9=$T$6,$T$9,IF(F9=$U$6,$U$9,IF(F9=$V$6,$V$9,IF(F9=$W$6,$W$9,IF(F9=$X$6,$X$9))))),IF(E9=$S$10,IF(F9=$T$6,$T$10,IF(F9=$U$6,$U$10,IF(F9=$V$6,$V$10,IF(F9=$W$6,$W$10,IF(F9=$X$6,$X$10))))),IF(E9=$S$11,IF(F9=$T$6,$T$11,IF(F9=$U$6,$U$11,IF(F9=$V$6,$V$11,IF(F9=$W$6,$W$11,IF(F9=$X$6,$X$11))))),"")))))</f>
        <v>Moderado</v>
      </c>
      <c r="I9" s="452"/>
      <c r="J9" s="332" t="s">
        <v>53</v>
      </c>
      <c r="K9" s="338"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338"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R2                 </v>
      </c>
      <c r="M9" s="338"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R7           </v>
      </c>
      <c r="N9" s="336"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R4 R5 R6             </v>
      </c>
      <c r="O9" s="337"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Q9" s="496"/>
      <c r="R9" s="97">
        <v>0.6</v>
      </c>
      <c r="S9" s="334" t="s">
        <v>53</v>
      </c>
      <c r="T9" s="338" t="s">
        <v>5</v>
      </c>
      <c r="U9" s="338" t="s">
        <v>5</v>
      </c>
      <c r="V9" s="338" t="s">
        <v>5</v>
      </c>
      <c r="W9" s="336" t="s">
        <v>79</v>
      </c>
      <c r="X9" s="337" t="s">
        <v>78</v>
      </c>
      <c r="AA9" s="331"/>
      <c r="AB9" s="331"/>
      <c r="AC9" s="98"/>
      <c r="AD9" s="339"/>
      <c r="AE9" s="101"/>
      <c r="AF9" s="98"/>
      <c r="AG9" s="98"/>
      <c r="AH9" s="98"/>
      <c r="AI9" s="98"/>
      <c r="AJ9" s="102"/>
      <c r="AK9" s="98"/>
      <c r="AL9" s="98"/>
    </row>
    <row r="10" spans="1:38" ht="123.75" customHeight="1" x14ac:dyDescent="0.25">
      <c r="A10" s="91" t="str">
        <f>'2 CONTEXTO E IDENTIFICACIÓN'!A8</f>
        <v>R3</v>
      </c>
      <c r="B10" s="325" t="str">
        <f>+'2 CONTEXTO E IDENTIFICACIÓN'!E8</f>
        <v>Posibilidad de pérdida Económica y Reputacional por la falta de atención a las afectaciones generadas por actividades de alcantarillado debido a que la parametrización del software permite el cierre de ordenes de trabajo con actividades pendientes.</v>
      </c>
      <c r="C10" s="121">
        <f>+'5 VALORACIÓN DEL CONTROL'!S17</f>
        <v>0.4</v>
      </c>
      <c r="D10" s="93">
        <f>+'5 VALORACIÓN DEL CONTROL'!T17</f>
        <v>0.45000000000000007</v>
      </c>
      <c r="E10" s="93" t="str">
        <f>+IF(C10=0,"",IF(C10&lt;=$R$11,$S$11,IF(C10&lt;=$R$10,$S$10,IF(C10&lt;=$R$9,$S$9,IF(C10&lt;=$R$8,$S$8,IF(C10&lt;=$R$7,$S$7,""))))))</f>
        <v>Baja</v>
      </c>
      <c r="F10" s="93" t="str">
        <f>+IF(D10=0,"",IF(D10&lt;=$T$5,$T$6,IF(D10&lt;=$U$5,$U$6,IF(D10&lt;=$V$5,$V$6,IF(D10&lt;=$W$5,$W$6,IF(D10&lt;=$X$5,$X$6,""))))))</f>
        <v>Moderado</v>
      </c>
      <c r="G10" s="325" t="str">
        <f>+IF(E10=$S$7,IF(F10=$T$6,$T$7,IF(F10=$U$6,$U$7,IF(F10=$V$6,$V$7,IF(F10=$W$6,$W$7,IF(F10=$X$6,$X$7))))),IF(E10=$S$8,IF(F10=$T$6,$T$8,IF(F10=$U$6,$U$8,IF(F10=$V$6,$V$8,IF(F10=$W$6,$W$8,IF(F10=$X$6,$X$8))))),IF(E10=$S$9,IF(F10=$T$6,$T$9,IF(F10=$U$6,$U$9,IF(F10=$V$6,$V$9,IF(F10=$W$6,$W$9,IF(F10=$X$6,$X$9))))),IF(E10=$S$10,IF(F10=$T$6,$T$10,IF(F10=$U$6,$U$10,IF(F10=$V$6,$V$10,IF(F10=$W$6,$W$10,IF(F10=$X$6,$X$10))))),IF(E10=$S$11,IF(F10=$T$6,$T$11,IF(F10=$U$6,$U$11,IF(F10=$V$6,$V$11,IF(F10=$W$6,$W$11,IF(F10=$X$6,$X$11))))),"")))))</f>
        <v>Moderado</v>
      </c>
      <c r="I10" s="452"/>
      <c r="J10" s="332" t="s">
        <v>51</v>
      </c>
      <c r="K10" s="340"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v>
      </c>
      <c r="L10" s="338"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R1                   </v>
      </c>
      <c r="M10" s="338"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   R3                </v>
      </c>
      <c r="N10" s="336"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v>
      </c>
      <c r="O10" s="337"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v>
      </c>
      <c r="Q10" s="496"/>
      <c r="R10" s="97">
        <v>0.4</v>
      </c>
      <c r="S10" s="334" t="s">
        <v>51</v>
      </c>
      <c r="T10" s="340" t="s">
        <v>80</v>
      </c>
      <c r="U10" s="338" t="s">
        <v>5</v>
      </c>
      <c r="V10" s="338" t="s">
        <v>5</v>
      </c>
      <c r="W10" s="336" t="s">
        <v>79</v>
      </c>
      <c r="X10" s="337" t="s">
        <v>78</v>
      </c>
      <c r="AA10" s="331"/>
      <c r="AB10" s="331"/>
      <c r="AC10" s="98"/>
      <c r="AD10" s="339"/>
      <c r="AE10" s="101"/>
      <c r="AF10" s="98"/>
      <c r="AG10" s="98"/>
      <c r="AH10" s="98"/>
      <c r="AI10" s="102"/>
      <c r="AJ10" s="98"/>
      <c r="AK10" s="98"/>
      <c r="AL10" s="98"/>
    </row>
    <row r="11" spans="1:38" ht="72" customHeight="1" thickBot="1" x14ac:dyDescent="0.3">
      <c r="A11" s="91" t="str">
        <f>'2 CONTEXTO E IDENTIFICACIÓN'!A9</f>
        <v>R4</v>
      </c>
      <c r="B11" s="325" t="str">
        <f>+'2 CONTEXTO E IDENTIFICACIÓN'!E9</f>
        <v>Posibilidad de pérdida Económica y Reputacional Por la captacion del caudal de las plantas de tratamiento  de los municipios  por encima del lt/s consecionados  Debido a la falta de medicion en el sistema de las bocatomas</v>
      </c>
      <c r="C11" s="121">
        <f>+'5 VALORACIÓN DEL CONTROL'!S21</f>
        <v>0.6</v>
      </c>
      <c r="D11" s="93">
        <f>+'5 VALORACIÓN DEL CONTROL'!T21</f>
        <v>0.8</v>
      </c>
      <c r="E11" s="93" t="str">
        <f>+IF(C11=0,"",IF(C11&lt;=$R$11,$S$11,IF(C11&lt;=$R$10,$S$10,IF(C11&lt;=$R$9,$S$9,IF(C11&lt;=$R$8,$S$8,IF(C11&lt;=$R$7,$S$7,""))))))</f>
        <v>Media</v>
      </c>
      <c r="F11" s="93" t="str">
        <f>+IF(D11=0,"",IF(D11&lt;=$T$5,$T$6,IF(D11&lt;=$U$5,$U$6,IF(D11&lt;=$V$5,$V$6,IF(D11&lt;=$W$5,$W$6,IF(D11&lt;=$X$5,$X$6,""))))))</f>
        <v>Mayor</v>
      </c>
      <c r="G11" s="325" t="str">
        <f>+IF(E11=$S$7,IF(F11=$T$6,$T$7,IF(F11=$U$6,$U$7,IF(F11=$V$6,$V$7,IF(F11=$W$6,$W$7,IF(F11=$X$6,$X$7))))),IF(E11=$S$8,IF(F11=$T$6,$T$8,IF(F11=$U$6,$U$8,IF(F11=$V$6,$V$8,IF(F11=$W$6,$W$8,IF(F11=$X$6,$X$8))))),IF(E11=$S$9,IF(F11=$T$6,$T$9,IF(F11=$U$6,$U$9,IF(F11=$V$6,$V$9,IF(F11=$W$6,$W$9,IF(F11=$X$6,$X$9))))),IF(E11=$S$10,IF(F11=$T$6,$T$10,IF(F11=$U$6,$U$10,IF(F11=$V$6,$V$10,IF(F11=$W$6,$W$10,IF(F11=$X$6,$X$10))))),IF(E11=$S$11,IF(F11=$T$6,$T$11,IF(F11=$U$6,$U$11,IF(F11=$V$6,$V$11,IF(F11=$W$6,$W$11,IF(F11=$X$6,$X$11))))),"")))))</f>
        <v>Alto</v>
      </c>
      <c r="I11" s="453"/>
      <c r="J11" s="341" t="s">
        <v>49</v>
      </c>
      <c r="K11" s="342"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342"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                   </v>
      </c>
      <c r="M11" s="343"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v>
      </c>
      <c r="N11" s="344"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v>
      </c>
      <c r="O11" s="345"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v>
      </c>
      <c r="Q11" s="496"/>
      <c r="R11" s="109">
        <v>0.2</v>
      </c>
      <c r="S11" s="346" t="s">
        <v>49</v>
      </c>
      <c r="T11" s="342" t="s">
        <v>80</v>
      </c>
      <c r="U11" s="342" t="s">
        <v>80</v>
      </c>
      <c r="V11" s="343" t="s">
        <v>5</v>
      </c>
      <c r="W11" s="344" t="s">
        <v>79</v>
      </c>
      <c r="X11" s="345" t="s">
        <v>78</v>
      </c>
      <c r="AA11" s="331"/>
      <c r="AB11" s="331"/>
      <c r="AC11" s="98"/>
      <c r="AD11" s="339"/>
      <c r="AE11" s="101"/>
      <c r="AF11" s="98"/>
      <c r="AG11" s="98"/>
      <c r="AH11" s="98"/>
      <c r="AI11" s="98"/>
      <c r="AJ11" s="98"/>
      <c r="AK11" s="98"/>
      <c r="AL11" s="98"/>
    </row>
    <row r="12" spans="1:38" ht="30.95" customHeight="1" x14ac:dyDescent="0.25">
      <c r="A12" s="91" t="str">
        <f>'2 CONTEXTO E IDENTIFICACIÓN'!A10</f>
        <v>R5</v>
      </c>
      <c r="B12" s="325" t="str">
        <f>+'2 CONTEXTO E IDENTIFICACIÓN'!E10</f>
        <v>Posibilidad de pérdida Económica y Reputacional por condiciones de calidad de agua cruda que no permite tratabilidad y afectaciones de tipo climático debido a crecientes que generan arrastre de solidos y elevacion en los niveles de turbierdad en agua cruda</v>
      </c>
      <c r="C12" s="121">
        <f>+'5 VALORACIÓN DEL CONTROL'!S25</f>
        <v>0.6</v>
      </c>
      <c r="D12" s="93">
        <f>+'5 VALORACIÓN DEL CONTROL'!T25</f>
        <v>0.8</v>
      </c>
      <c r="E12" s="93" t="str">
        <f>+IF(C12=0,"",IF(C12&lt;=$R$11,$S$11,IF(C12&lt;=$R$10,$S$10,IF(C12&lt;=$R$9,$S$9,IF(C12&lt;=$R$8,$S$8,IF(C12&lt;=$R$7,$S$7,""))))))</f>
        <v>Media</v>
      </c>
      <c r="F12" s="93" t="str">
        <f>+IF(D12=0,"",IF(D12&lt;=$T$5,$T$6,IF(D12&lt;=$U$5,$U$6,IF(D12&lt;=$V$5,$V$6,IF(D12&lt;=$W$5,$W$6,IF(D12&lt;=$X$5,$X$6,""))))))</f>
        <v>Mayor</v>
      </c>
      <c r="G12" s="325" t="str">
        <f>+IF(E12=$S$7,IF(F12=$T$6,$T$7,IF(F12=$U$6,$U$7,IF(F12=$V$6,$V$7,IF(F12=$W$6,$W$7,IF(F12=$X$6,$X$7))))),IF(E12=$S$8,IF(F12=$T$6,$T$8,IF(F12=$U$6,$U$8,IF(F12=$V$6,$V$8,IF(F12=$W$6,$W$8,IF(F12=$X$6,$X$8))))),IF(E12=$S$9,IF(F12=$T$6,$T$9,IF(F12=$U$6,$U$9,IF(F12=$V$6,$V$9,IF(F12=$W$6,$W$9,IF(F12=$X$6,$X$9))))),IF(E12=$S$10,IF(F12=$T$6,$T$10,IF(F12=$U$6,$U$10,IF(F12=$V$6,$V$10,IF(F12=$W$6,$W$10,IF(F12=$X$6,$X$10))))),IF(E12=$S$11,IF(F12=$T$6,$T$11,IF(F12=$U$6,$U$11,IF(F12=$V$6,$V$11,IF(F12=$W$6,$W$11,IF(F12=$X$6,$X$11))))),"")))))</f>
        <v>Alto</v>
      </c>
      <c r="AA12" s="331"/>
      <c r="AB12" s="331"/>
      <c r="AC12" s="98"/>
      <c r="AD12" s="339"/>
      <c r="AE12" s="101"/>
      <c r="AF12" s="98"/>
      <c r="AG12" s="98"/>
      <c r="AH12" s="98"/>
      <c r="AI12" s="98"/>
      <c r="AJ12" s="98"/>
      <c r="AK12" s="98"/>
      <c r="AL12" s="98"/>
    </row>
    <row r="13" spans="1:38" ht="30.95" customHeight="1" x14ac:dyDescent="0.25">
      <c r="A13" s="91" t="str">
        <f>'2 CONTEXTO E IDENTIFICACIÓN'!A11</f>
        <v>R6</v>
      </c>
      <c r="B13" s="325" t="str">
        <f>+'2 CONTEXTO E IDENTIFICACIÓN'!E11</f>
        <v>Posibilidad de pérdida Económica y Reputacional por el aumento en el índice de agua no contabilizada por pérdidas técnicas  debido a la infraestructura de produccion ,almacenameinto y distribucion en condiciones inadecuadas,  y la reparación inoportuna de fugas y daños en las redes de acueducto.</v>
      </c>
      <c r="C13" s="121">
        <f>+'5 VALORACIÓN DEL CONTROL'!S29</f>
        <v>0.6</v>
      </c>
      <c r="D13" s="93">
        <f>+'5 VALORACIÓN DEL CONTROL'!T29</f>
        <v>0.8</v>
      </c>
      <c r="E13" s="93" t="str">
        <f>+IF(C13=0,"",IF(C13&lt;=$R$11,$S$11,IF(C13&lt;=$R$10,$S$10,IF(C13&lt;=$R$9,$S$9,IF(C13&lt;=$R$8,$S$8,IF(C13&lt;=$R$7,$S$7,""))))))</f>
        <v>Media</v>
      </c>
      <c r="F13" s="93" t="str">
        <f>+IF(D13=0,"",IF(D13&lt;=$T$5,$T$6,IF(D13&lt;=$U$5,$U$6,IF(D13&lt;=$V$5,$V$6,IF(D13&lt;=$W$5,$W$6,IF(D13&lt;=$X$5,$X$6,""))))))</f>
        <v>Mayor</v>
      </c>
      <c r="G13" s="325" t="str">
        <f>+IF(E13=$S$7,IF(F13=$T$6,$T$7,IF(F13=$U$6,$U$7,IF(F13=$V$6,$V$7,IF(F13=$W$6,$W$7,IF(F13=$X$6,$X$7))))),IF(E13=$S$8,IF(F13=$T$6,$T$8,IF(F13=$U$6,$U$8,IF(F13=$V$6,$V$8,IF(F13=$W$6,$W$8,IF(F13=$X$6,$X$8))))),IF(E13=$S$9,IF(F13=$T$6,$T$9,IF(F13=$U$6,$U$9,IF(F13=$V$6,$V$9,IF(F13=$W$6,$W$9,IF(F13=$X$6,$X$9))))),IF(E13=$S$10,IF(F13=$T$6,$T$10,IF(F13=$U$6,$U$10,IF(F13=$V$6,$V$10,IF(F13=$W$6,$W$10,IF(F13=$X$6,$X$10))))),IF(E13=$S$11,IF(F13=$T$6,$T$11,IF(F13=$U$6,$U$11,IF(F13=$V$6,$V$11,IF(F13=$W$6,$W$11,IF(F13=$X$6,$X$11))))),"")))))</f>
        <v>Alto</v>
      </c>
      <c r="T13" s="83" t="s">
        <v>82</v>
      </c>
      <c r="V13" s="331"/>
      <c r="W13" s="331"/>
      <c r="X13" s="331"/>
      <c r="Y13" s="331"/>
      <c r="Z13" s="331"/>
      <c r="AA13" s="331"/>
      <c r="AB13" s="331"/>
      <c r="AC13" s="98"/>
      <c r="AD13" s="339"/>
      <c r="AE13" s="98"/>
      <c r="AF13" s="101"/>
      <c r="AG13" s="101"/>
      <c r="AH13" s="101"/>
      <c r="AI13" s="101"/>
      <c r="AJ13" s="101"/>
      <c r="AK13" s="98"/>
      <c r="AL13" s="98"/>
    </row>
    <row r="14" spans="1:38" x14ac:dyDescent="0.25">
      <c r="A14" s="91"/>
      <c r="B14" s="325"/>
      <c r="C14" s="121"/>
      <c r="D14" s="93"/>
      <c r="E14" s="93"/>
      <c r="F14" s="93"/>
      <c r="G14" s="325"/>
      <c r="T14" s="347" t="s">
        <v>78</v>
      </c>
      <c r="V14" s="331"/>
      <c r="W14" s="331"/>
      <c r="X14" s="331"/>
      <c r="Y14" s="331"/>
      <c r="Z14" s="331"/>
      <c r="AA14" s="331"/>
      <c r="AB14" s="331"/>
      <c r="AC14" s="98"/>
      <c r="AD14" s="98"/>
      <c r="AE14" s="98"/>
      <c r="AF14" s="98"/>
      <c r="AG14" s="98"/>
      <c r="AH14" s="98"/>
      <c r="AI14" s="98"/>
      <c r="AJ14" s="98"/>
      <c r="AK14" s="98"/>
      <c r="AL14" s="98"/>
    </row>
    <row r="15" spans="1:38" ht="30.95" customHeight="1" x14ac:dyDescent="0.25">
      <c r="A15" s="91" t="str">
        <f>'2 CONTEXTO E IDENTIFICACIÓN'!A12</f>
        <v>R7</v>
      </c>
      <c r="B15" s="325" t="str">
        <f>+'2 CONTEXTO E IDENTIFICACIÓN'!E12</f>
        <v>Posibilidad de pérdida Económica y Reputacional por la atención inoportuna de las solicitudes de reparación de acueducto debido a la falta de seguimiento a las ordenes de trabajo generadas, falta de personal operativo para los grupos de trabajo y falta de asignación de recursos o de disponibilidad de materiales.</v>
      </c>
      <c r="C15" s="121">
        <f>+'5 VALORACIÓN DEL CONTROL'!S33</f>
        <v>0.6</v>
      </c>
      <c r="D15" s="93">
        <f>+'5 VALORACIÓN DEL CONTROL'!T33</f>
        <v>0.6</v>
      </c>
      <c r="E15" s="93" t="str">
        <f>+IF(C15=0,"",IF(C15&lt;=$R$11,$S$11,IF(C15&lt;=$R$10,$S$10,IF(C15&lt;=$R$9,$S$9,IF(C15&lt;=$R$8,$S$8,IF(C15&lt;=$R$7,$S$7,""))))))</f>
        <v>Media</v>
      </c>
      <c r="F15" s="93" t="str">
        <f>+IF(D15=0,"",IF(D15&lt;=$T$5,$T$6,IF(D15&lt;=$U$5,$U$6,IF(D15&lt;=$V$5,$V$6,IF(D15&lt;=$W$5,$W$6,IF(D15&lt;=$X$5,$X$6,""))))))</f>
        <v>Moderado</v>
      </c>
      <c r="G15" s="325" t="str">
        <f>+IF(E15=$S$7,IF(F15=$T$6,$T$7,IF(F15=$U$6,$U$7,IF(F15=$V$6,$V$7,IF(F15=$W$6,$W$7,IF(F15=$X$6,$X$7))))),IF(E15=$S$8,IF(F15=$T$6,$T$8,IF(F15=$U$6,$U$8,IF(F15=$V$6,$V$8,IF(F15=$W$6,$W$8,IF(F15=$X$6,$X$8))))),IF(E15=$S$9,IF(F15=$T$6,$T$9,IF(F15=$U$6,$U$9,IF(F15=$V$6,$V$9,IF(F15=$W$6,$W$9,IF(F15=$X$6,$X$9))))),IF(E15=$S$10,IF(F15=$T$6,$T$10,IF(F15=$U$6,$U$10,IF(F15=$V$6,$V$10,IF(F15=$W$6,$W$10,IF(F15=$X$6,$X$10))))),IF(E15=$S$11,IF(F15=$T$6,$T$11,IF(F15=$U$6,$U$11,IF(F15=$V$6,$V$11,IF(F15=$W$6,$W$11,IF(F15=$X$6,$X$11))))),"")))))</f>
        <v>Moderado</v>
      </c>
      <c r="T15" s="336" t="s">
        <v>79</v>
      </c>
      <c r="U15" s="331"/>
      <c r="V15" s="331"/>
      <c r="W15" s="331"/>
      <c r="X15" s="331"/>
      <c r="Y15" s="331"/>
      <c r="Z15" s="331"/>
      <c r="AA15" s="331"/>
      <c r="AB15" s="331"/>
      <c r="AC15" s="98"/>
      <c r="AD15" s="98"/>
      <c r="AE15" s="98"/>
      <c r="AF15" s="98"/>
      <c r="AG15" s="98"/>
      <c r="AH15" s="98"/>
      <c r="AI15" s="98"/>
      <c r="AJ15" s="98"/>
      <c r="AK15" s="98"/>
      <c r="AL15" s="98"/>
    </row>
    <row r="16" spans="1:38" ht="30.95" customHeight="1" x14ac:dyDescent="0.25">
      <c r="A16" s="91" t="str">
        <f>'2 CONTEXTO E IDENTIFICACIÓN'!A13</f>
        <v>R10</v>
      </c>
      <c r="B16" s="325" t="str">
        <f>+'2 CONTEXTO E IDENTIFICACIÓN'!E13</f>
        <v xml:space="preserve">  </v>
      </c>
      <c r="C16" s="121" t="str">
        <f>+'5 VALORACIÓN DEL CONTROL'!S37</f>
        <v/>
      </c>
      <c r="D16" s="93" t="str">
        <f>+'5 VALORACIÓN DEL CONTROL'!T37</f>
        <v/>
      </c>
      <c r="E16" s="93" t="str">
        <f t="shared" ref="E8:E26" si="1">+IF(C16=0,"",IF(C16&lt;=$R$11,$S$11,IF(C16&lt;=$R$10,$S$10,IF(C16&lt;=$R$9,$S$9,IF(C16&lt;=$R$8,$S$8,IF(C16&lt;=$R$7,$S$7,""))))))</f>
        <v/>
      </c>
      <c r="F16" s="93" t="str">
        <f t="shared" si="0"/>
        <v/>
      </c>
      <c r="G16" s="325" t="str">
        <f t="shared" ref="G14:G26" si="2">+IF(E16=$S$7,IF(F16=$T$6,$T$7,IF(F16=$U$6,$U$7,IF(F16=$V$6,$V$7,IF(F16=$W$6,$W$7,IF(F16=$X$6,$X$7))))),IF(E16=$S$8,IF(F16=$T$6,$T$8,IF(F16=$U$6,$U$8,IF(F16=$V$6,$V$8,IF(F16=$W$6,$W$8,IF(F16=$X$6,$X$8))))),IF(E16=$S$9,IF(F16=$T$6,$T$9,IF(F16=$U$6,$U$9,IF(F16=$V$6,$V$9,IF(F16=$W$6,$W$9,IF(F16=$X$6,$X$9))))),IF(E16=$S$10,IF(F16=$T$6,$T$10,IF(F16=$U$6,$U$10,IF(F16=$V$6,$V$10,IF(F16=$W$6,$W$10,IF(F16=$X$6,$X$10))))),IF(E16=$S$11,IF(F16=$T$6,$T$11,IF(F16=$U$6,$U$11,IF(F16=$V$6,$V$11,IF(F16=$W$6,$W$11,IF(F16=$X$6,$X$11))))),"")))))</f>
        <v/>
      </c>
      <c r="S16" s="348"/>
      <c r="T16" s="338" t="s">
        <v>5</v>
      </c>
      <c r="U16" s="348"/>
      <c r="V16" s="348"/>
      <c r="W16" s="348"/>
      <c r="X16" s="348"/>
      <c r="Y16" s="348"/>
      <c r="Z16" s="348"/>
      <c r="AA16" s="348"/>
      <c r="AB16" s="348"/>
      <c r="AC16" s="98"/>
      <c r="AD16" s="98"/>
      <c r="AE16" s="353"/>
      <c r="AF16" s="353"/>
      <c r="AG16" s="353"/>
      <c r="AH16" s="353"/>
      <c r="AI16" s="353"/>
      <c r="AJ16" s="353"/>
      <c r="AK16" s="98"/>
      <c r="AL16" s="98"/>
    </row>
    <row r="17" spans="1:38" ht="30.95" customHeight="1" x14ac:dyDescent="0.25">
      <c r="A17" s="91" t="str">
        <f>'2 CONTEXTO E IDENTIFICACIÓN'!A14</f>
        <v>R11</v>
      </c>
      <c r="B17" s="325" t="str">
        <f>+'2 CONTEXTO E IDENTIFICACIÓN'!E14</f>
        <v xml:space="preserve">  </v>
      </c>
      <c r="C17" s="121" t="str">
        <f>+'5 VALORACIÓN DEL CONTROL'!S41</f>
        <v/>
      </c>
      <c r="D17" s="93" t="str">
        <f>+'5 VALORACIÓN DEL CONTROL'!T41</f>
        <v/>
      </c>
      <c r="E17" s="93" t="str">
        <f t="shared" si="1"/>
        <v/>
      </c>
      <c r="F17" s="93" t="str">
        <f t="shared" si="0"/>
        <v/>
      </c>
      <c r="G17" s="325" t="str">
        <f t="shared" si="2"/>
        <v/>
      </c>
      <c r="S17" s="348"/>
      <c r="T17" s="340" t="s">
        <v>80</v>
      </c>
      <c r="AA17" s="348"/>
      <c r="AB17" s="348"/>
      <c r="AC17" s="98"/>
      <c r="AD17" s="98"/>
      <c r="AE17" s="98"/>
      <c r="AF17" s="98"/>
      <c r="AG17" s="98"/>
      <c r="AH17" s="98"/>
      <c r="AI17" s="98"/>
      <c r="AJ17" s="98"/>
      <c r="AK17" s="98"/>
      <c r="AL17" s="98"/>
    </row>
    <row r="18" spans="1:38" ht="30.95" customHeight="1" x14ac:dyDescent="0.25">
      <c r="A18" s="91" t="str">
        <f>'2 CONTEXTO E IDENTIFICACIÓN'!A15</f>
        <v>R12</v>
      </c>
      <c r="B18" s="325" t="str">
        <f>+'2 CONTEXTO E IDENTIFICACIÓN'!E15</f>
        <v xml:space="preserve">  </v>
      </c>
      <c r="C18" s="121" t="str">
        <f>+'5 VALORACIÓN DEL CONTROL'!S45</f>
        <v/>
      </c>
      <c r="D18" s="93" t="str">
        <f>+'5 VALORACIÓN DEL CONTROL'!T45</f>
        <v/>
      </c>
      <c r="E18" s="93" t="str">
        <f t="shared" si="1"/>
        <v/>
      </c>
      <c r="F18" s="93" t="str">
        <f t="shared" si="0"/>
        <v/>
      </c>
      <c r="G18" s="325" t="str">
        <f t="shared" si="2"/>
        <v/>
      </c>
      <c r="Q18" s="349"/>
      <c r="R18" s="349"/>
      <c r="S18" s="348"/>
      <c r="AA18" s="348"/>
      <c r="AB18" s="348"/>
      <c r="AC18" s="98"/>
      <c r="AD18" s="98"/>
      <c r="AE18" s="98"/>
      <c r="AF18" s="98"/>
      <c r="AG18" s="98"/>
      <c r="AH18" s="98"/>
      <c r="AI18" s="98"/>
      <c r="AJ18" s="98"/>
      <c r="AK18" s="98"/>
      <c r="AL18" s="98"/>
    </row>
    <row r="19" spans="1:38" ht="30.95" customHeight="1" x14ac:dyDescent="0.25">
      <c r="A19" s="91" t="str">
        <f>'2 CONTEXTO E IDENTIFICACIÓN'!A16</f>
        <v>R13</v>
      </c>
      <c r="B19" s="325" t="str">
        <f>+'2 CONTEXTO E IDENTIFICACIÓN'!E16</f>
        <v xml:space="preserve">  </v>
      </c>
      <c r="C19" s="121" t="str">
        <f>+'5 VALORACIÓN DEL CONTROL'!S49</f>
        <v/>
      </c>
      <c r="D19" s="93" t="str">
        <f>+'5 VALORACIÓN DEL CONTROL'!T49</f>
        <v/>
      </c>
      <c r="E19" s="93" t="str">
        <f t="shared" si="1"/>
        <v/>
      </c>
      <c r="F19" s="93" t="str">
        <f t="shared" si="0"/>
        <v/>
      </c>
      <c r="G19" s="325" t="str">
        <f t="shared" si="2"/>
        <v/>
      </c>
      <c r="Q19" s="349"/>
      <c r="R19" s="349"/>
      <c r="S19" s="349"/>
      <c r="AA19" s="348"/>
      <c r="AB19" s="348"/>
      <c r="AC19" s="98"/>
      <c r="AD19" s="98"/>
      <c r="AE19" s="98"/>
      <c r="AF19" s="98"/>
      <c r="AG19" s="98"/>
      <c r="AH19" s="98"/>
      <c r="AI19" s="98"/>
      <c r="AJ19" s="98"/>
      <c r="AK19" s="98"/>
      <c r="AL19" s="98"/>
    </row>
    <row r="20" spans="1:38" ht="30.95" customHeight="1" x14ac:dyDescent="0.25">
      <c r="A20" s="91" t="str">
        <f>'2 CONTEXTO E IDENTIFICACIÓN'!A17</f>
        <v>R14</v>
      </c>
      <c r="B20" s="325" t="str">
        <f>+'2 CONTEXTO E IDENTIFICACIÓN'!E17</f>
        <v xml:space="preserve">  </v>
      </c>
      <c r="C20" s="121" t="str">
        <f>+'5 VALORACIÓN DEL CONTROL'!S53</f>
        <v/>
      </c>
      <c r="D20" s="93" t="str">
        <f>+'5 VALORACIÓN DEL CONTROL'!T53</f>
        <v/>
      </c>
      <c r="E20" s="93" t="str">
        <f t="shared" si="1"/>
        <v/>
      </c>
      <c r="F20" s="93" t="str">
        <f t="shared" si="0"/>
        <v/>
      </c>
      <c r="G20" s="325" t="str">
        <f t="shared" si="2"/>
        <v/>
      </c>
      <c r="Q20" s="349"/>
      <c r="R20" s="349"/>
      <c r="AC20" s="98"/>
      <c r="AD20" s="350"/>
      <c r="AE20" s="350"/>
      <c r="AF20" s="350"/>
      <c r="AG20" s="350"/>
      <c r="AH20" s="350"/>
      <c r="AI20" s="350"/>
      <c r="AJ20" s="98"/>
      <c r="AK20" s="98"/>
      <c r="AL20" s="98"/>
    </row>
    <row r="21" spans="1:38" ht="30.95" customHeight="1" x14ac:dyDescent="0.25">
      <c r="A21" s="91" t="str">
        <f>'2 CONTEXTO E IDENTIFICACIÓN'!A18</f>
        <v>R15</v>
      </c>
      <c r="B21" s="325" t="str">
        <f>+'2 CONTEXTO E IDENTIFICACIÓN'!E18</f>
        <v xml:space="preserve">  </v>
      </c>
      <c r="C21" s="121" t="str">
        <f>+'5 VALORACIÓN DEL CONTROL'!S57</f>
        <v/>
      </c>
      <c r="D21" s="93" t="str">
        <f>+'5 VALORACIÓN DEL CONTROL'!T57</f>
        <v/>
      </c>
      <c r="E21" s="93" t="str">
        <f t="shared" si="1"/>
        <v/>
      </c>
      <c r="F21" s="93" t="str">
        <f t="shared" si="0"/>
        <v/>
      </c>
      <c r="G21" s="325" t="str">
        <f t="shared" si="2"/>
        <v/>
      </c>
      <c r="Q21" s="349"/>
      <c r="R21" s="349"/>
      <c r="AC21" s="98"/>
      <c r="AD21" s="98"/>
      <c r="AE21" s="98"/>
      <c r="AF21" s="98"/>
      <c r="AG21" s="98"/>
      <c r="AH21" s="98"/>
      <c r="AI21" s="98"/>
      <c r="AJ21" s="98"/>
      <c r="AK21" s="98"/>
      <c r="AL21" s="98"/>
    </row>
    <row r="22" spans="1:38" ht="30.95" customHeight="1" x14ac:dyDescent="0.25">
      <c r="A22" s="91" t="str">
        <f>'2 CONTEXTO E IDENTIFICACIÓN'!A19</f>
        <v>R16</v>
      </c>
      <c r="B22" s="325" t="str">
        <f>+'2 CONTEXTO E IDENTIFICACIÓN'!E19</f>
        <v xml:space="preserve">  </v>
      </c>
      <c r="C22" s="121" t="str">
        <f>+'5 VALORACIÓN DEL CONTROL'!S61</f>
        <v/>
      </c>
      <c r="D22" s="93" t="str">
        <f>+'5 VALORACIÓN DEL CONTROL'!T61</f>
        <v/>
      </c>
      <c r="E22" s="93" t="str">
        <f t="shared" si="1"/>
        <v/>
      </c>
      <c r="F22" s="93" t="str">
        <f t="shared" si="0"/>
        <v/>
      </c>
      <c r="G22" s="325" t="str">
        <f t="shared" si="2"/>
        <v/>
      </c>
      <c r="AC22" s="98"/>
      <c r="AD22" s="98"/>
      <c r="AE22" s="98"/>
      <c r="AF22" s="98"/>
      <c r="AG22" s="98"/>
      <c r="AH22" s="98"/>
      <c r="AI22" s="98"/>
      <c r="AJ22" s="98"/>
      <c r="AK22" s="98"/>
      <c r="AL22" s="98"/>
    </row>
    <row r="23" spans="1:38" ht="30.95" customHeight="1" x14ac:dyDescent="0.25">
      <c r="A23" s="91" t="str">
        <f>'2 CONTEXTO E IDENTIFICACIÓN'!A20</f>
        <v>R17</v>
      </c>
      <c r="B23" s="325" t="str">
        <f>+'2 CONTEXTO E IDENTIFICACIÓN'!E20</f>
        <v xml:space="preserve">  </v>
      </c>
      <c r="C23" s="121" t="str">
        <f>+'5 VALORACIÓN DEL CONTROL'!S65</f>
        <v/>
      </c>
      <c r="D23" s="93" t="str">
        <f>+'5 VALORACIÓN DEL CONTROL'!T65</f>
        <v/>
      </c>
      <c r="E23" s="93" t="str">
        <f t="shared" si="1"/>
        <v/>
      </c>
      <c r="F23" s="93" t="str">
        <f t="shared" si="0"/>
        <v/>
      </c>
      <c r="G23" s="325" t="str">
        <f t="shared" si="2"/>
        <v/>
      </c>
    </row>
    <row r="24" spans="1:38" ht="30.95" customHeight="1" x14ac:dyDescent="0.25">
      <c r="A24" s="91" t="str">
        <f>'2 CONTEXTO E IDENTIFICACIÓN'!A21</f>
        <v>R18</v>
      </c>
      <c r="B24" s="325" t="str">
        <f>+'2 CONTEXTO E IDENTIFICACIÓN'!E21</f>
        <v xml:space="preserve">  </v>
      </c>
      <c r="C24" s="121" t="str">
        <f>+'5 VALORACIÓN DEL CONTROL'!S69</f>
        <v/>
      </c>
      <c r="D24" s="93" t="str">
        <f>+'5 VALORACIÓN DEL CONTROL'!T69</f>
        <v/>
      </c>
      <c r="E24" s="93" t="str">
        <f t="shared" si="1"/>
        <v/>
      </c>
      <c r="F24" s="93" t="str">
        <f t="shared" si="0"/>
        <v/>
      </c>
      <c r="G24" s="325" t="str">
        <f t="shared" si="2"/>
        <v/>
      </c>
    </row>
    <row r="25" spans="1:38" ht="30.95" customHeight="1" x14ac:dyDescent="0.25">
      <c r="A25" s="91" t="str">
        <f>'2 CONTEXTO E IDENTIFICACIÓN'!A22</f>
        <v>R19</v>
      </c>
      <c r="B25" s="325" t="str">
        <f>+'2 CONTEXTO E IDENTIFICACIÓN'!E22</f>
        <v xml:space="preserve">  </v>
      </c>
      <c r="C25" s="121" t="str">
        <f>+'5 VALORACIÓN DEL CONTROL'!S73</f>
        <v/>
      </c>
      <c r="D25" s="93" t="str">
        <f>+'5 VALORACIÓN DEL CONTROL'!T73</f>
        <v/>
      </c>
      <c r="E25" s="93" t="str">
        <f t="shared" si="1"/>
        <v/>
      </c>
      <c r="F25" s="93" t="str">
        <f t="shared" si="0"/>
        <v/>
      </c>
      <c r="G25" s="325" t="str">
        <f t="shared" si="2"/>
        <v/>
      </c>
    </row>
    <row r="26" spans="1:38" ht="30.95" customHeight="1" x14ac:dyDescent="0.25">
      <c r="A26" s="91" t="str">
        <f>'2 CONTEXTO E IDENTIFICACIÓN'!A23</f>
        <v>R20</v>
      </c>
      <c r="B26" s="325" t="str">
        <f>+'2 CONTEXTO E IDENTIFICACIÓN'!E23</f>
        <v xml:space="preserve">  </v>
      </c>
      <c r="C26" s="121" t="str">
        <f>+'5 VALORACIÓN DEL CONTROL'!S77</f>
        <v/>
      </c>
      <c r="D26" s="93" t="str">
        <f>+'5 VALORACIÓN DEL CONTROL'!T77</f>
        <v/>
      </c>
      <c r="E26" s="93" t="str">
        <f t="shared" si="1"/>
        <v/>
      </c>
      <c r="F26" s="93" t="str">
        <f t="shared" si="0"/>
        <v/>
      </c>
      <c r="G26" s="325" t="str">
        <f t="shared" si="2"/>
        <v/>
      </c>
    </row>
    <row r="27" spans="1:38" ht="14.45" customHeight="1" x14ac:dyDescent="0.25"/>
    <row r="28" spans="1:38" ht="39" customHeight="1" x14ac:dyDescent="0.25"/>
    <row r="29" spans="1:38" ht="19.5" customHeight="1" x14ac:dyDescent="0.25"/>
    <row r="30" spans="1:38" ht="19.5" customHeight="1" x14ac:dyDescent="0.25"/>
    <row r="31" spans="1:38" ht="19.5" customHeight="1" x14ac:dyDescent="0.25"/>
    <row r="32" spans="1:38" ht="19.5" customHeight="1" x14ac:dyDescent="0.25"/>
    <row r="33" ht="19.5" customHeight="1" x14ac:dyDescent="0.25"/>
  </sheetData>
  <sheetProtection formatCells="0" formatColumns="0" formatRows="0" sort="0" autoFilter="0" pivotTables="0"/>
  <dataConsolidate/>
  <mergeCells count="8">
    <mergeCell ref="I7:I11"/>
    <mergeCell ref="Q7:Q11"/>
    <mergeCell ref="I4:O4"/>
    <mergeCell ref="B2:D2"/>
    <mergeCell ref="B3:D3"/>
    <mergeCell ref="T4:X4"/>
    <mergeCell ref="E5:G5"/>
    <mergeCell ref="K5:O5"/>
  </mergeCells>
  <conditionalFormatting sqref="D7: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7: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7: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sqref="A1:XFD2"/>
    </sheetView>
  </sheetViews>
  <sheetFormatPr baseColWidth="10" defaultColWidth="14.28515625" defaultRowHeight="12.75" x14ac:dyDescent="0.25"/>
  <cols>
    <col min="1" max="1" width="14.28515625" style="77" customWidth="1"/>
    <col min="2" max="2" width="17" style="82" customWidth="1"/>
    <col min="3" max="3" width="15.5703125" style="82" customWidth="1"/>
    <col min="4" max="4" width="14.7109375" style="82" customWidth="1"/>
    <col min="5" max="6" width="15.5703125" style="123"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69"/>
      <c r="D1" s="69"/>
      <c r="E1" s="214"/>
      <c r="F1" s="214"/>
      <c r="G1" s="69"/>
      <c r="H1" s="69"/>
      <c r="N1" s="70"/>
      <c r="O1" s="70"/>
      <c r="P1" s="69"/>
      <c r="AF1" s="68"/>
      <c r="AG1" s="68"/>
      <c r="AH1" s="68"/>
      <c r="AI1" s="68"/>
      <c r="AJ1" s="68"/>
    </row>
    <row r="2" spans="1:38" s="67" customFormat="1" ht="17.45" customHeight="1" x14ac:dyDescent="0.2">
      <c r="A2" s="19" t="s">
        <v>149</v>
      </c>
      <c r="B2" s="365" t="str">
        <f>+IF('2 CONTEXTO E IDENTIFICACIÓN'!$B$2="","",'2 CONTEXTO E IDENTIFICACIÓN'!$B$2)</f>
        <v xml:space="preserve">GESTIÓN DE SERVICIOS PUBLICOS </v>
      </c>
      <c r="C2" s="365"/>
      <c r="D2" s="365"/>
      <c r="E2" s="66"/>
      <c r="F2" s="214"/>
      <c r="G2" s="69"/>
      <c r="H2" s="69"/>
      <c r="I2" s="215"/>
      <c r="J2" s="215"/>
      <c r="K2" s="216"/>
      <c r="L2" s="216"/>
      <c r="M2" s="216"/>
      <c r="N2" s="70"/>
      <c r="O2" s="70"/>
      <c r="P2" s="69"/>
      <c r="AF2" s="68"/>
      <c r="AG2" s="68"/>
      <c r="AH2" s="68"/>
      <c r="AI2" s="68"/>
      <c r="AJ2" s="68"/>
    </row>
    <row r="3" spans="1:38" s="67" customFormat="1" ht="15" thickBot="1" x14ac:dyDescent="0.25">
      <c r="D3" s="66"/>
      <c r="E3" s="66"/>
      <c r="F3" s="119"/>
      <c r="AF3" s="68"/>
      <c r="AG3" s="68"/>
      <c r="AH3" s="68"/>
      <c r="AI3" s="68"/>
      <c r="AJ3" s="68"/>
    </row>
    <row r="4" spans="1:38" s="67" customFormat="1" ht="13.5" thickBot="1" x14ac:dyDescent="0.25">
      <c r="A4" s="500" t="s">
        <v>17</v>
      </c>
      <c r="B4" s="501"/>
      <c r="C4" s="501"/>
      <c r="D4" s="501"/>
      <c r="E4" s="501"/>
      <c r="F4" s="501"/>
      <c r="G4" s="502"/>
      <c r="I4" s="500" t="s">
        <v>18</v>
      </c>
      <c r="J4" s="501"/>
      <c r="K4" s="501"/>
      <c r="L4" s="501"/>
      <c r="M4" s="501"/>
      <c r="N4" s="501"/>
      <c r="O4" s="502"/>
      <c r="R4" s="72"/>
      <c r="S4" s="73"/>
      <c r="T4" s="447" t="s">
        <v>81</v>
      </c>
      <c r="U4" s="447"/>
      <c r="V4" s="447"/>
      <c r="W4" s="447"/>
      <c r="X4" s="448"/>
      <c r="AF4" s="68"/>
      <c r="AG4" s="68"/>
      <c r="AH4" s="68"/>
      <c r="AI4" s="68"/>
      <c r="AJ4" s="68"/>
    </row>
    <row r="5" spans="1:38" x14ac:dyDescent="0.25">
      <c r="A5" s="75"/>
      <c r="B5" s="76"/>
      <c r="C5" s="447" t="s">
        <v>81</v>
      </c>
      <c r="D5" s="447"/>
      <c r="E5" s="447"/>
      <c r="F5" s="447"/>
      <c r="G5" s="448"/>
      <c r="H5" s="74"/>
      <c r="I5" s="75"/>
      <c r="J5" s="76"/>
      <c r="K5" s="447" t="s">
        <v>81</v>
      </c>
      <c r="L5" s="447"/>
      <c r="M5" s="447"/>
      <c r="N5" s="447"/>
      <c r="O5" s="448"/>
      <c r="P5" s="74"/>
      <c r="R5" s="78"/>
      <c r="T5" s="79">
        <v>0.2</v>
      </c>
      <c r="U5" s="79">
        <v>0.4</v>
      </c>
      <c r="V5" s="79">
        <v>0.6</v>
      </c>
      <c r="W5" s="79">
        <v>0.8</v>
      </c>
      <c r="X5" s="80">
        <v>1</v>
      </c>
      <c r="Y5" s="81"/>
      <c r="Z5" s="81"/>
      <c r="AA5" s="81"/>
      <c r="AB5" s="81"/>
      <c r="AC5" s="81"/>
      <c r="AD5" s="81"/>
      <c r="AE5" s="81"/>
    </row>
    <row r="6" spans="1:38" x14ac:dyDescent="0.2">
      <c r="A6" s="78"/>
      <c r="B6" s="84"/>
      <c r="C6" s="85" t="s">
        <v>59</v>
      </c>
      <c r="D6" s="85" t="s">
        <v>7</v>
      </c>
      <c r="E6" s="85" t="s">
        <v>5</v>
      </c>
      <c r="F6" s="85" t="s">
        <v>6</v>
      </c>
      <c r="G6" s="86" t="s">
        <v>67</v>
      </c>
      <c r="H6" s="74"/>
      <c r="I6" s="78"/>
      <c r="J6" s="84"/>
      <c r="K6" s="85" t="s">
        <v>59</v>
      </c>
      <c r="L6" s="85" t="s">
        <v>7</v>
      </c>
      <c r="M6" s="85" t="s">
        <v>5</v>
      </c>
      <c r="N6" s="85" t="s">
        <v>6</v>
      </c>
      <c r="O6" s="86" t="s">
        <v>67</v>
      </c>
      <c r="P6" s="74"/>
      <c r="R6" s="78"/>
      <c r="S6" s="87"/>
      <c r="T6" s="88" t="s">
        <v>59</v>
      </c>
      <c r="U6" s="88" t="s">
        <v>7</v>
      </c>
      <c r="V6" s="88" t="s">
        <v>5</v>
      </c>
      <c r="W6" s="88" t="s">
        <v>6</v>
      </c>
      <c r="X6" s="89" t="s">
        <v>67</v>
      </c>
      <c r="AA6" s="81"/>
      <c r="AB6" s="81"/>
      <c r="AC6" s="90"/>
      <c r="AD6" s="90"/>
      <c r="AE6" s="90"/>
      <c r="AF6" s="90"/>
      <c r="AG6" s="90"/>
      <c r="AH6" s="90"/>
      <c r="AI6" s="90"/>
      <c r="AJ6" s="90"/>
      <c r="AK6" s="90"/>
      <c r="AL6" s="90"/>
    </row>
    <row r="7" spans="1:38" ht="55.5" customHeight="1" x14ac:dyDescent="0.2">
      <c r="A7" s="452" t="s">
        <v>48</v>
      </c>
      <c r="B7" s="85" t="s">
        <v>56</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v>
      </c>
      <c r="H7" s="94"/>
      <c r="I7" s="452" t="s">
        <v>48</v>
      </c>
      <c r="J7" s="85" t="s">
        <v>56</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496" t="s">
        <v>48</v>
      </c>
      <c r="R7" s="97">
        <v>1</v>
      </c>
      <c r="S7" s="88" t="s">
        <v>56</v>
      </c>
      <c r="T7" s="95" t="s">
        <v>79</v>
      </c>
      <c r="U7" s="95" t="s">
        <v>79</v>
      </c>
      <c r="V7" s="95" t="s">
        <v>79</v>
      </c>
      <c r="W7" s="95" t="s">
        <v>79</v>
      </c>
      <c r="X7" s="96" t="s">
        <v>78</v>
      </c>
      <c r="AA7" s="81"/>
      <c r="AB7" s="81"/>
      <c r="AC7" s="90"/>
      <c r="AD7" s="90"/>
      <c r="AE7" s="90"/>
      <c r="AF7" s="98"/>
      <c r="AG7" s="98"/>
      <c r="AH7" s="98"/>
      <c r="AI7" s="98"/>
      <c r="AJ7" s="98"/>
      <c r="AK7" s="90"/>
      <c r="AL7" s="90"/>
    </row>
    <row r="8" spans="1:38" ht="55.5" customHeight="1" x14ac:dyDescent="0.2">
      <c r="A8" s="452"/>
      <c r="B8" s="85" t="s">
        <v>55</v>
      </c>
      <c r="C8" s="99" t="str">
        <f>+'4 MAPA CALOR INHERENTE'!I8</f>
        <v xml:space="preserve">                   </v>
      </c>
      <c r="D8" s="99" t="str">
        <f>+'4 MAPA CALOR INHERENTE'!J8</f>
        <v xml:space="preserve">                   </v>
      </c>
      <c r="E8" s="95" t="str">
        <f>+'4 MAPA CALOR INHERENTE'!K8</f>
        <v xml:space="preserve">                   </v>
      </c>
      <c r="F8" s="95" t="str">
        <f>+'4 MAPA CALOR INHERENTE'!L8</f>
        <v xml:space="preserve">                   </v>
      </c>
      <c r="G8" s="96" t="str">
        <f>+'4 MAPA CALOR INHERENTE'!M8</f>
        <v xml:space="preserve">                   </v>
      </c>
      <c r="H8" s="94"/>
      <c r="I8" s="452"/>
      <c r="J8" s="85" t="s">
        <v>55</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496"/>
      <c r="R8" s="97">
        <v>0.8</v>
      </c>
      <c r="S8" s="88" t="s">
        <v>55</v>
      </c>
      <c r="T8" s="99" t="s">
        <v>5</v>
      </c>
      <c r="U8" s="99" t="s">
        <v>5</v>
      </c>
      <c r="V8" s="95" t="s">
        <v>79</v>
      </c>
      <c r="W8" s="95" t="s">
        <v>79</v>
      </c>
      <c r="X8" s="96" t="s">
        <v>78</v>
      </c>
      <c r="AA8" s="81"/>
      <c r="AB8" s="81"/>
      <c r="AC8" s="90"/>
      <c r="AD8" s="100"/>
      <c r="AE8" s="101"/>
      <c r="AF8" s="98"/>
      <c r="AG8" s="98"/>
      <c r="AH8" s="98"/>
      <c r="AI8" s="98"/>
      <c r="AJ8" s="98"/>
      <c r="AK8" s="90"/>
      <c r="AL8" s="90"/>
    </row>
    <row r="9" spans="1:38" ht="55.5" customHeight="1" x14ac:dyDescent="0.2">
      <c r="A9" s="452"/>
      <c r="B9" s="85" t="s">
        <v>53</v>
      </c>
      <c r="C9" s="99" t="str">
        <f>+'4 MAPA CALOR INHERENTE'!I9</f>
        <v xml:space="preserve">                   </v>
      </c>
      <c r="D9" s="99" t="str">
        <f>+'4 MAPA CALOR INHERENTE'!J9</f>
        <v xml:space="preserve">                   </v>
      </c>
      <c r="E9" s="99" t="str">
        <f>+'4 MAPA CALOR INHERENTE'!K9</f>
        <v xml:space="preserve">        R7           </v>
      </c>
      <c r="F9" s="95" t="str">
        <f>+'4 MAPA CALOR INHERENTE'!L9</f>
        <v xml:space="preserve">  R2  R4 R5 R6             </v>
      </c>
      <c r="G9" s="96" t="str">
        <f>+'4 MAPA CALOR INHERENTE'!M9</f>
        <v xml:space="preserve">                   </v>
      </c>
      <c r="H9" s="94"/>
      <c r="I9" s="452"/>
      <c r="J9" s="85" t="s">
        <v>53</v>
      </c>
      <c r="K9" s="99" t="str">
        <f>+'6 MAPA CALOR RESIDUAL'!K9</f>
        <v xml:space="preserve">                   </v>
      </c>
      <c r="L9" s="99" t="str">
        <f>+'6 MAPA CALOR RESIDUAL'!L9</f>
        <v xml:space="preserve">  R2                 </v>
      </c>
      <c r="M9" s="99" t="str">
        <f>+'6 MAPA CALOR RESIDUAL'!M9</f>
        <v xml:space="preserve">        R7           </v>
      </c>
      <c r="N9" s="95" t="str">
        <f>+'6 MAPA CALOR RESIDUAL'!N9</f>
        <v xml:space="preserve">    R4 R5 R6             </v>
      </c>
      <c r="O9" s="96" t="str">
        <f>+'6 MAPA CALOR RESIDUAL'!O9</f>
        <v xml:space="preserve">                   </v>
      </c>
      <c r="P9" s="94"/>
      <c r="Q9" s="496"/>
      <c r="R9" s="97">
        <v>0.6</v>
      </c>
      <c r="S9" s="88" t="s">
        <v>53</v>
      </c>
      <c r="T9" s="99" t="s">
        <v>5</v>
      </c>
      <c r="U9" s="99" t="s">
        <v>5</v>
      </c>
      <c r="V9" s="99" t="s">
        <v>5</v>
      </c>
      <c r="W9" s="95" t="s">
        <v>79</v>
      </c>
      <c r="X9" s="96" t="s">
        <v>78</v>
      </c>
      <c r="AA9" s="81"/>
      <c r="AB9" s="81"/>
      <c r="AC9" s="90"/>
      <c r="AD9" s="100"/>
      <c r="AE9" s="101"/>
      <c r="AF9" s="98"/>
      <c r="AG9" s="98"/>
      <c r="AH9" s="98"/>
      <c r="AI9" s="98"/>
      <c r="AJ9" s="102"/>
      <c r="AK9" s="90"/>
      <c r="AL9" s="90"/>
    </row>
    <row r="10" spans="1:38" ht="55.5" customHeight="1" x14ac:dyDescent="0.2">
      <c r="A10" s="452"/>
      <c r="B10" s="85" t="s">
        <v>51</v>
      </c>
      <c r="C10" s="103" t="str">
        <f>+'4 MAPA CALOR INHERENTE'!I10</f>
        <v xml:space="preserve">                   </v>
      </c>
      <c r="D10" s="99" t="str">
        <f>+'4 MAPA CALOR INHERENTE'!J10</f>
        <v xml:space="preserve">                   </v>
      </c>
      <c r="E10" s="99" t="str">
        <f>+'4 MAPA CALOR INHERENTE'!K10</f>
        <v xml:space="preserve">                   </v>
      </c>
      <c r="F10" s="95" t="str">
        <f>+'4 MAPA CALOR INHERENTE'!L10</f>
        <v xml:space="preserve">R1   R3                </v>
      </c>
      <c r="G10" s="96" t="str">
        <f>+'4 MAPA CALOR INHERENTE'!M10</f>
        <v xml:space="preserve">                   </v>
      </c>
      <c r="H10" s="94"/>
      <c r="I10" s="452"/>
      <c r="J10" s="85" t="s">
        <v>51</v>
      </c>
      <c r="K10" s="103" t="str">
        <f>+'6 MAPA CALOR RESIDUAL'!K10</f>
        <v xml:space="preserve">                   </v>
      </c>
      <c r="L10" s="99" t="str">
        <f>+'6 MAPA CALOR RESIDUAL'!L10</f>
        <v xml:space="preserve">R1                   </v>
      </c>
      <c r="M10" s="99" t="str">
        <f>+'6 MAPA CALOR RESIDUAL'!M10</f>
        <v xml:space="preserve">   R3                </v>
      </c>
      <c r="N10" s="95" t="str">
        <f>+'6 MAPA CALOR RESIDUAL'!N10</f>
        <v xml:space="preserve">                   </v>
      </c>
      <c r="O10" s="96" t="str">
        <f>+'6 MAPA CALOR RESIDUAL'!O10</f>
        <v xml:space="preserve">                   </v>
      </c>
      <c r="P10" s="94"/>
      <c r="Q10" s="496"/>
      <c r="R10" s="97">
        <v>0.4</v>
      </c>
      <c r="S10" s="88" t="s">
        <v>51</v>
      </c>
      <c r="T10" s="103" t="s">
        <v>80</v>
      </c>
      <c r="U10" s="99" t="s">
        <v>5</v>
      </c>
      <c r="V10" s="99" t="s">
        <v>5</v>
      </c>
      <c r="W10" s="95" t="s">
        <v>79</v>
      </c>
      <c r="X10" s="96" t="s">
        <v>78</v>
      </c>
      <c r="AA10" s="81"/>
      <c r="AB10" s="81"/>
      <c r="AC10" s="90"/>
      <c r="AD10" s="100"/>
      <c r="AE10" s="101"/>
      <c r="AF10" s="98"/>
      <c r="AG10" s="98"/>
      <c r="AH10" s="98"/>
      <c r="AI10" s="102"/>
      <c r="AJ10" s="98"/>
      <c r="AK10" s="90"/>
      <c r="AL10" s="90"/>
    </row>
    <row r="11" spans="1:38" ht="55.5" customHeight="1" thickBot="1" x14ac:dyDescent="0.25">
      <c r="A11" s="453"/>
      <c r="B11" s="104" t="s">
        <v>49</v>
      </c>
      <c r="C11" s="105" t="str">
        <f>+'4 MAPA CALOR INHERENTE'!I11</f>
        <v xml:space="preserve">                   </v>
      </c>
      <c r="D11" s="105" t="str">
        <f>+'4 MAPA CALOR INHERENTE'!J11</f>
        <v xml:space="preserve">                   </v>
      </c>
      <c r="E11" s="106" t="str">
        <f>+'4 MAPA CALOR INHERENTE'!K11</f>
        <v xml:space="preserve">                   </v>
      </c>
      <c r="F11" s="107" t="str">
        <f>+'4 MAPA CALOR INHERENTE'!L11</f>
        <v xml:space="preserve">                   </v>
      </c>
      <c r="G11" s="108" t="str">
        <f>+'4 MAPA CALOR INHERENTE'!M11</f>
        <v xml:space="preserve">                   </v>
      </c>
      <c r="H11" s="94"/>
      <c r="I11" s="453"/>
      <c r="J11" s="104" t="s">
        <v>49</v>
      </c>
      <c r="K11" s="105" t="str">
        <f>+'6 MAPA CALOR RESIDUAL'!K11</f>
        <v xml:space="preserve">                   </v>
      </c>
      <c r="L11" s="105" t="str">
        <f>+'6 MAPA CALOR RESIDUAL'!L11</f>
        <v xml:space="preserve">                   </v>
      </c>
      <c r="M11" s="106" t="str">
        <f>+'6 MAPA CALOR RESIDUAL'!M11</f>
        <v xml:space="preserve">                   </v>
      </c>
      <c r="N11" s="107" t="str">
        <f>+'6 MAPA CALOR RESIDUAL'!N11</f>
        <v xml:space="preserve">                   </v>
      </c>
      <c r="O11" s="108" t="str">
        <f>+'6 MAPA CALOR RESIDUAL'!O11</f>
        <v xml:space="preserve">                   </v>
      </c>
      <c r="P11" s="94"/>
      <c r="Q11" s="496"/>
      <c r="R11" s="109">
        <v>0.2</v>
      </c>
      <c r="S11" s="110" t="s">
        <v>49</v>
      </c>
      <c r="T11" s="105" t="s">
        <v>80</v>
      </c>
      <c r="U11" s="105" t="s">
        <v>80</v>
      </c>
      <c r="V11" s="106" t="s">
        <v>5</v>
      </c>
      <c r="W11" s="107" t="s">
        <v>79</v>
      </c>
      <c r="X11" s="108" t="s">
        <v>78</v>
      </c>
      <c r="AA11" s="81"/>
      <c r="AB11" s="81"/>
      <c r="AC11" s="90"/>
      <c r="AD11" s="100"/>
      <c r="AE11" s="101"/>
      <c r="AF11" s="98"/>
      <c r="AG11" s="98"/>
      <c r="AH11" s="98"/>
      <c r="AI11" s="111"/>
      <c r="AJ11" s="98"/>
      <c r="AK11" s="90"/>
      <c r="AL11" s="90"/>
    </row>
    <row r="12" spans="1:38" x14ac:dyDescent="0.2">
      <c r="A12" s="82"/>
      <c r="B12" s="94"/>
      <c r="C12" s="188"/>
      <c r="D12" s="189"/>
      <c r="E12" s="190"/>
      <c r="F12" s="190"/>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x14ac:dyDescent="0.2">
      <c r="A13" s="82"/>
      <c r="B13" s="94"/>
      <c r="C13" s="188"/>
      <c r="D13" s="189"/>
      <c r="E13" s="190"/>
      <c r="F13" s="190"/>
      <c r="G13" s="94"/>
      <c r="H13" s="94"/>
      <c r="I13" s="94"/>
      <c r="J13" s="94"/>
      <c r="K13" s="94"/>
      <c r="L13" s="94"/>
      <c r="M13" s="94"/>
      <c r="N13" s="94"/>
      <c r="O13" s="94"/>
      <c r="P13" s="94"/>
      <c r="T13" s="83" t="s">
        <v>82</v>
      </c>
      <c r="V13" s="81"/>
      <c r="W13" s="81"/>
      <c r="X13" s="81"/>
      <c r="Y13" s="81"/>
      <c r="Z13" s="81"/>
      <c r="AA13" s="81"/>
      <c r="AB13" s="81"/>
      <c r="AC13" s="90"/>
      <c r="AD13" s="100"/>
      <c r="AE13" s="90"/>
      <c r="AF13" s="101"/>
      <c r="AG13" s="101"/>
      <c r="AH13" s="101"/>
      <c r="AI13" s="101"/>
      <c r="AJ13" s="101"/>
      <c r="AK13" s="90"/>
      <c r="AL13" s="90"/>
    </row>
    <row r="14" spans="1:38" x14ac:dyDescent="0.2">
      <c r="A14" s="82"/>
      <c r="B14" s="94"/>
      <c r="C14" s="188"/>
      <c r="D14" s="189"/>
      <c r="E14" s="190"/>
      <c r="F14" s="190"/>
      <c r="G14" s="94"/>
      <c r="H14" s="94"/>
      <c r="I14" s="94"/>
      <c r="J14" s="94"/>
      <c r="K14" s="94"/>
      <c r="L14" s="94"/>
      <c r="M14" s="94"/>
      <c r="N14" s="94"/>
      <c r="O14" s="94"/>
      <c r="P14" s="94"/>
      <c r="T14" s="112" t="s">
        <v>78</v>
      </c>
      <c r="V14" s="81"/>
      <c r="W14" s="81"/>
      <c r="X14" s="81"/>
      <c r="Y14" s="81"/>
      <c r="Z14" s="81"/>
      <c r="AA14" s="81"/>
      <c r="AB14" s="81"/>
      <c r="AC14" s="90"/>
      <c r="AD14" s="90"/>
      <c r="AE14" s="90"/>
      <c r="AF14" s="98"/>
      <c r="AG14" s="98"/>
      <c r="AH14" s="98"/>
      <c r="AI14" s="98"/>
      <c r="AJ14" s="98"/>
      <c r="AK14" s="90"/>
      <c r="AL14" s="90"/>
    </row>
    <row r="15" spans="1:38" x14ac:dyDescent="0.2">
      <c r="A15" s="82"/>
      <c r="B15" s="94"/>
      <c r="C15" s="188"/>
      <c r="D15" s="189"/>
      <c r="E15" s="190"/>
      <c r="F15" s="190"/>
      <c r="G15" s="94"/>
      <c r="H15" s="94"/>
      <c r="I15" s="94"/>
      <c r="J15" s="94"/>
      <c r="K15" s="94"/>
      <c r="L15" s="94"/>
      <c r="M15" s="94"/>
      <c r="N15" s="94"/>
      <c r="O15" s="94"/>
      <c r="P15" s="94"/>
      <c r="T15" s="95" t="s">
        <v>79</v>
      </c>
      <c r="U15" s="81"/>
      <c r="V15" s="81"/>
      <c r="W15" s="81"/>
      <c r="X15" s="81"/>
      <c r="Y15" s="81"/>
      <c r="Z15" s="81"/>
      <c r="AA15" s="81"/>
      <c r="AB15" s="81"/>
      <c r="AC15" s="90"/>
      <c r="AD15" s="90"/>
      <c r="AE15" s="90"/>
      <c r="AF15" s="98"/>
      <c r="AG15" s="98"/>
      <c r="AH15" s="98"/>
      <c r="AI15" s="98"/>
      <c r="AJ15" s="98"/>
      <c r="AK15" s="90"/>
      <c r="AL15" s="90"/>
    </row>
    <row r="16" spans="1:38" x14ac:dyDescent="0.2">
      <c r="A16" s="82"/>
      <c r="B16" s="94"/>
      <c r="C16" s="188"/>
      <c r="D16" s="189"/>
      <c r="E16" s="190"/>
      <c r="F16" s="190"/>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x14ac:dyDescent="0.2">
      <c r="A17" s="82"/>
      <c r="B17" s="94"/>
      <c r="C17" s="188"/>
      <c r="D17" s="189"/>
      <c r="E17" s="190"/>
      <c r="F17" s="190"/>
      <c r="G17" s="94"/>
      <c r="H17" s="94"/>
      <c r="I17" s="94"/>
      <c r="J17" s="94"/>
      <c r="K17" s="94"/>
      <c r="L17" s="94"/>
      <c r="M17" s="94"/>
      <c r="N17" s="94"/>
      <c r="O17" s="94"/>
      <c r="P17" s="94"/>
      <c r="S17" s="113"/>
      <c r="T17" s="103" t="s">
        <v>80</v>
      </c>
      <c r="AA17" s="113"/>
      <c r="AB17" s="113"/>
      <c r="AC17" s="90"/>
      <c r="AD17" s="90"/>
      <c r="AE17" s="90"/>
      <c r="AF17" s="98"/>
      <c r="AG17" s="98"/>
      <c r="AH17" s="98"/>
      <c r="AI17" s="98"/>
      <c r="AJ17" s="98"/>
      <c r="AK17" s="90"/>
      <c r="AL17" s="90"/>
    </row>
    <row r="18" spans="1:38" x14ac:dyDescent="0.2">
      <c r="A18" s="82"/>
      <c r="B18" s="94"/>
      <c r="C18" s="188"/>
      <c r="D18" s="189"/>
      <c r="E18" s="190"/>
      <c r="F18" s="190"/>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x14ac:dyDescent="0.2">
      <c r="A19" s="82"/>
      <c r="B19" s="94"/>
      <c r="C19" s="188"/>
      <c r="D19" s="189"/>
      <c r="E19" s="190"/>
      <c r="F19" s="190"/>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x14ac:dyDescent="0.2">
      <c r="A20" s="82"/>
      <c r="B20" s="94"/>
      <c r="C20" s="188"/>
      <c r="D20" s="189"/>
      <c r="E20" s="190"/>
      <c r="F20" s="190"/>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x14ac:dyDescent="0.2">
      <c r="A21" s="82"/>
      <c r="B21" s="94"/>
      <c r="C21" s="188"/>
      <c r="D21" s="189"/>
      <c r="E21" s="190"/>
      <c r="F21" s="190"/>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x14ac:dyDescent="0.2">
      <c r="A22" s="82"/>
      <c r="B22" s="94"/>
      <c r="C22" s="188"/>
      <c r="D22" s="189"/>
      <c r="E22" s="190"/>
      <c r="F22" s="190"/>
      <c r="G22" s="94"/>
      <c r="H22" s="94"/>
      <c r="I22" s="94"/>
      <c r="J22" s="94"/>
      <c r="K22" s="94"/>
      <c r="L22" s="94"/>
      <c r="M22" s="94"/>
      <c r="N22" s="94"/>
      <c r="O22" s="94"/>
      <c r="P22" s="94"/>
      <c r="AC22" s="90"/>
      <c r="AD22" s="111"/>
      <c r="AE22" s="111"/>
      <c r="AF22" s="111"/>
      <c r="AG22" s="111"/>
      <c r="AH22" s="111"/>
      <c r="AI22" s="111"/>
      <c r="AJ22" s="98"/>
      <c r="AK22" s="90"/>
      <c r="AL22" s="90"/>
    </row>
    <row r="23" spans="1:38" x14ac:dyDescent="0.25">
      <c r="A23" s="82"/>
      <c r="B23" s="94"/>
      <c r="C23" s="188"/>
      <c r="D23" s="189"/>
      <c r="E23" s="190"/>
      <c r="F23" s="190"/>
      <c r="G23" s="94"/>
      <c r="H23" s="94"/>
      <c r="I23" s="94"/>
      <c r="J23" s="94"/>
      <c r="K23" s="94"/>
      <c r="L23" s="94"/>
      <c r="M23" s="94"/>
      <c r="N23" s="94"/>
      <c r="O23" s="94"/>
      <c r="P23" s="94"/>
    </row>
    <row r="24" spans="1:38" x14ac:dyDescent="0.25">
      <c r="A24" s="82"/>
      <c r="B24" s="94"/>
      <c r="C24" s="188"/>
      <c r="D24" s="189"/>
      <c r="E24" s="190"/>
      <c r="F24" s="190"/>
      <c r="G24" s="94"/>
      <c r="H24" s="94"/>
      <c r="I24" s="94"/>
      <c r="J24" s="94"/>
      <c r="K24" s="94"/>
      <c r="L24" s="94"/>
      <c r="M24" s="94"/>
      <c r="N24" s="94"/>
      <c r="O24" s="94"/>
      <c r="P24" s="94"/>
    </row>
    <row r="25" spans="1:38" x14ac:dyDescent="0.25">
      <c r="A25" s="82"/>
      <c r="B25" s="94"/>
      <c r="C25" s="188"/>
      <c r="D25" s="189"/>
      <c r="E25" s="190"/>
      <c r="F25" s="190"/>
      <c r="G25" s="94"/>
      <c r="H25" s="94"/>
      <c r="I25" s="94"/>
      <c r="J25" s="94"/>
      <c r="K25" s="94"/>
      <c r="L25" s="94"/>
      <c r="M25" s="94"/>
      <c r="N25" s="94"/>
      <c r="O25" s="94"/>
      <c r="P25" s="94"/>
    </row>
    <row r="26" spans="1:38" x14ac:dyDescent="0.25">
      <c r="A26" s="82"/>
      <c r="B26" s="94"/>
      <c r="C26" s="188"/>
      <c r="D26" s="189"/>
      <c r="E26" s="190"/>
      <c r="F26" s="190"/>
      <c r="G26" s="94"/>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31" priority="1" operator="equal">
      <formula>$S$11</formula>
    </cfRule>
    <cfRule type="cellIs" dxfId="30" priority="2" operator="equal">
      <formula>$S$10</formula>
    </cfRule>
    <cfRule type="cellIs" dxfId="29" priority="3" operator="equal">
      <formula>$S$9</formula>
    </cfRule>
    <cfRule type="cellIs" dxfId="28" priority="4" operator="equal">
      <formula>$S$8</formula>
    </cfRule>
    <cfRule type="cellIs" dxfId="27" priority="5" operator="equal">
      <formula>$S$7</formula>
    </cfRule>
  </conditionalFormatting>
  <conditionalFormatting sqref="F12:F26">
    <cfRule type="cellIs" dxfId="26" priority="6" operator="equal">
      <formula>$T$6</formula>
    </cfRule>
    <cfRule type="cellIs" dxfId="25" priority="7" operator="equal">
      <formula>$U$6</formula>
    </cfRule>
    <cfRule type="cellIs" dxfId="24" priority="8" operator="equal">
      <formula>$V$6</formula>
    </cfRule>
    <cfRule type="cellIs" dxfId="23" priority="9" operator="equal">
      <formula>$W$6</formula>
    </cfRule>
    <cfRule type="cellIs" dxfId="22" priority="10" operator="equal">
      <formula>$X$6</formula>
    </cfRule>
  </conditionalFormatting>
  <conditionalFormatting sqref="G12:G26">
    <cfRule type="cellIs" dxfId="21" priority="16" operator="equal">
      <formula>$T$14</formula>
    </cfRule>
    <cfRule type="cellIs" dxfId="20" priority="17" operator="equal">
      <formula>$T$15</formula>
    </cfRule>
    <cfRule type="cellIs" dxfId="19" priority="18" operator="equal">
      <formula>$T$16</formula>
    </cfRule>
    <cfRule type="cellIs" dxfId="18"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1"/>
  <sheetViews>
    <sheetView showGridLines="0" topLeftCell="A7" zoomScale="60" zoomScaleNormal="60" workbookViewId="0">
      <selection activeCell="A8" sqref="A8:XFD8"/>
    </sheetView>
  </sheetViews>
  <sheetFormatPr baseColWidth="10" defaultColWidth="14.28515625" defaultRowHeight="12.75" x14ac:dyDescent="0.25"/>
  <cols>
    <col min="1" max="1" width="17.7109375" style="77" customWidth="1"/>
    <col min="2" max="2" width="25.140625" style="82" customWidth="1"/>
    <col min="3" max="3" width="16.5703125" style="82" customWidth="1"/>
    <col min="4" max="4" width="17.140625" style="82" customWidth="1"/>
    <col min="5" max="5" width="16.42578125" style="123" customWidth="1"/>
    <col min="6" max="6" width="17.42578125" style="123" customWidth="1"/>
    <col min="7" max="7" width="14.5703125" style="82" customWidth="1"/>
    <col min="8" max="8" width="15.42578125" style="82" customWidth="1"/>
    <col min="9" max="9" width="13" style="82" customWidth="1"/>
    <col min="10" max="10" width="19.28515625" style="123" customWidth="1"/>
    <col min="11" max="11" width="14.28515625" style="123" customWidth="1"/>
    <col min="12" max="12" width="16.5703125" style="82" customWidth="1"/>
    <col min="13" max="13" width="16.85546875" style="82" customWidth="1"/>
    <col min="14" max="14" width="15.5703125" style="82" customWidth="1"/>
    <col min="15" max="16" width="16.5703125" style="82" customWidth="1"/>
    <col min="17" max="17" width="62.85546875" style="82" bestFit="1" customWidth="1"/>
    <col min="18" max="18" width="20.85546875" style="82" customWidth="1"/>
    <col min="19" max="19" width="13.7109375" style="128" customWidth="1"/>
    <col min="20" max="20" width="13.5703125" style="128" customWidth="1"/>
    <col min="21" max="23" width="68.85546875" style="82" customWidth="1"/>
    <col min="24" max="24" width="54.5703125" style="82" customWidth="1"/>
    <col min="25" max="25" width="35.5703125" style="82" customWidth="1"/>
    <col min="26" max="26" width="21.140625"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6" width="14"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x14ac:dyDescent="0.2">
      <c r="A1" s="71"/>
      <c r="B1" s="69"/>
      <c r="C1" s="214"/>
      <c r="D1" s="214"/>
      <c r="E1" s="118"/>
      <c r="F1" s="118"/>
      <c r="G1" s="69"/>
      <c r="J1" s="118"/>
      <c r="K1" s="118"/>
      <c r="L1" s="69"/>
      <c r="N1" s="69"/>
      <c r="O1" s="69"/>
      <c r="P1" s="69"/>
      <c r="Q1" s="69"/>
      <c r="R1" s="69"/>
      <c r="S1" s="125"/>
      <c r="T1" s="125"/>
      <c r="U1" s="69"/>
      <c r="V1" s="69"/>
      <c r="W1" s="69"/>
      <c r="X1" s="69"/>
      <c r="Y1" s="69"/>
      <c r="Z1" s="69"/>
      <c r="AA1" s="69"/>
      <c r="AB1" s="69"/>
      <c r="AR1" s="68"/>
      <c r="AS1" s="68"/>
      <c r="AT1" s="68"/>
      <c r="AU1" s="68"/>
      <c r="AV1" s="68"/>
    </row>
    <row r="2" spans="1:50" s="67" customFormat="1" ht="22.5" customHeight="1" thickBot="1" x14ac:dyDescent="0.25">
      <c r="A2" s="19" t="s">
        <v>149</v>
      </c>
      <c r="B2" s="365" t="str">
        <f>+IF('2 CONTEXTO E IDENTIFICACIÓN'!$B$2="","",'2 CONTEXTO E IDENTIFICACIÓN'!$B$2)</f>
        <v xml:space="preserve">GESTIÓN DE SERVICIOS PUBLICOS </v>
      </c>
      <c r="C2" s="365"/>
      <c r="D2" s="365"/>
      <c r="E2" s="66"/>
      <c r="F2" s="66"/>
      <c r="G2" s="66"/>
      <c r="H2" s="66"/>
      <c r="I2" s="66"/>
      <c r="J2" s="66"/>
      <c r="K2" s="119"/>
      <c r="S2" s="124"/>
      <c r="T2" s="124"/>
      <c r="AR2" s="68"/>
      <c r="AS2" s="68"/>
      <c r="AT2" s="68"/>
      <c r="AU2" s="68"/>
      <c r="AV2" s="68"/>
    </row>
    <row r="3" spans="1:50" s="67" customFormat="1" ht="15" x14ac:dyDescent="0.2">
      <c r="A3" s="217"/>
      <c r="B3" s="366"/>
      <c r="C3" s="366"/>
      <c r="D3" s="366"/>
      <c r="E3" s="49"/>
      <c r="F3" s="119"/>
      <c r="H3" s="69"/>
      <c r="I3" s="69"/>
      <c r="J3" s="49"/>
      <c r="K3" s="119"/>
      <c r="S3" s="124"/>
      <c r="T3" s="124"/>
      <c r="AD3" s="72"/>
      <c r="AE3" s="73"/>
      <c r="AF3" s="373" t="s">
        <v>81</v>
      </c>
      <c r="AG3" s="374"/>
      <c r="AH3" s="374"/>
      <c r="AI3" s="374"/>
      <c r="AJ3" s="375"/>
      <c r="AR3" s="68"/>
      <c r="AS3" s="68"/>
      <c r="AT3" s="68"/>
      <c r="AU3" s="68"/>
      <c r="AV3" s="68"/>
    </row>
    <row r="4" spans="1:50" s="67" customFormat="1" ht="5.45" customHeight="1" thickBot="1" x14ac:dyDescent="0.25">
      <c r="A4" s="217"/>
      <c r="B4" s="216"/>
      <c r="C4" s="216"/>
      <c r="D4" s="69"/>
      <c r="E4" s="49"/>
      <c r="F4" s="119"/>
      <c r="H4" s="69"/>
      <c r="I4" s="69"/>
      <c r="J4" s="49"/>
      <c r="K4" s="119"/>
      <c r="S4" s="124"/>
      <c r="T4" s="124"/>
      <c r="AD4" s="228"/>
      <c r="AF4" s="229"/>
      <c r="AG4" s="230"/>
      <c r="AH4" s="230"/>
      <c r="AI4" s="230"/>
      <c r="AJ4" s="231"/>
      <c r="AR4" s="68"/>
      <c r="AS4" s="68"/>
      <c r="AT4" s="68"/>
      <c r="AU4" s="68"/>
      <c r="AV4" s="68"/>
    </row>
    <row r="5" spans="1:50" ht="14.45" customHeight="1" thickBot="1" x14ac:dyDescent="0.3">
      <c r="A5" s="120"/>
      <c r="B5" s="120"/>
      <c r="C5" s="120"/>
      <c r="D5" s="120"/>
      <c r="E5" s="370" t="s">
        <v>83</v>
      </c>
      <c r="F5" s="371"/>
      <c r="G5" s="372"/>
      <c r="H5" s="74"/>
      <c r="I5" s="120"/>
      <c r="J5" s="370" t="s">
        <v>112</v>
      </c>
      <c r="K5" s="371"/>
      <c r="L5" s="372"/>
      <c r="M5" s="74"/>
      <c r="N5" s="74"/>
      <c r="O5" s="74"/>
      <c r="P5" s="74"/>
      <c r="Q5" s="370" t="s">
        <v>125</v>
      </c>
      <c r="R5" s="371"/>
      <c r="S5" s="371"/>
      <c r="T5" s="372"/>
      <c r="U5" s="370" t="s">
        <v>142</v>
      </c>
      <c r="V5" s="371"/>
      <c r="W5" s="372"/>
      <c r="X5" s="74"/>
      <c r="Y5" s="74"/>
      <c r="Z5" s="74"/>
      <c r="AA5" s="74"/>
      <c r="AB5" s="74"/>
      <c r="AD5" s="78"/>
      <c r="AF5" s="79">
        <v>0.2</v>
      </c>
      <c r="AG5" s="79">
        <v>0.4</v>
      </c>
      <c r="AH5" s="79">
        <v>0.6</v>
      </c>
      <c r="AI5" s="79">
        <v>0.8</v>
      </c>
      <c r="AJ5" s="80">
        <v>1</v>
      </c>
      <c r="AK5" s="81"/>
      <c r="AL5" s="81"/>
      <c r="AM5" s="81"/>
      <c r="AN5" s="81"/>
      <c r="AO5" s="81"/>
      <c r="AP5" s="81"/>
      <c r="AQ5" s="81"/>
    </row>
    <row r="6" spans="1:50" ht="51.75" thickBot="1" x14ac:dyDescent="0.25">
      <c r="A6" s="306" t="s">
        <v>0</v>
      </c>
      <c r="B6" s="307" t="s">
        <v>1</v>
      </c>
      <c r="C6" s="307" t="s">
        <v>116</v>
      </c>
      <c r="D6" s="307" t="s">
        <v>117</v>
      </c>
      <c r="E6" s="307" t="s">
        <v>2</v>
      </c>
      <c r="F6" s="307" t="s">
        <v>4</v>
      </c>
      <c r="G6" s="308" t="s">
        <v>118</v>
      </c>
      <c r="H6" s="307" t="s">
        <v>114</v>
      </c>
      <c r="I6" s="307" t="s">
        <v>115</v>
      </c>
      <c r="J6" s="307" t="s">
        <v>2</v>
      </c>
      <c r="K6" s="307" t="s">
        <v>4</v>
      </c>
      <c r="L6" s="307" t="s">
        <v>118</v>
      </c>
      <c r="M6" s="307" t="s">
        <v>168</v>
      </c>
      <c r="N6" s="307" t="s">
        <v>119</v>
      </c>
      <c r="O6" s="307" t="s">
        <v>270</v>
      </c>
      <c r="P6" s="307" t="s">
        <v>266</v>
      </c>
      <c r="Q6" s="307" t="s">
        <v>172</v>
      </c>
      <c r="R6" s="307" t="s">
        <v>171</v>
      </c>
      <c r="S6" s="309" t="s">
        <v>144</v>
      </c>
      <c r="T6" s="309" t="s">
        <v>145</v>
      </c>
      <c r="U6" s="307" t="s">
        <v>140</v>
      </c>
      <c r="V6" s="307" t="s">
        <v>141</v>
      </c>
      <c r="W6" s="307" t="s">
        <v>143</v>
      </c>
      <c r="X6" s="307" t="s">
        <v>146</v>
      </c>
      <c r="Y6" s="307" t="s">
        <v>147</v>
      </c>
      <c r="Z6" s="310" t="s">
        <v>126</v>
      </c>
      <c r="AA6" s="74"/>
      <c r="AB6" s="74"/>
      <c r="AD6" s="78"/>
      <c r="AE6" s="87"/>
      <c r="AF6" s="88" t="s">
        <v>59</v>
      </c>
      <c r="AG6" s="88" t="s">
        <v>7</v>
      </c>
      <c r="AH6" s="88" t="s">
        <v>5</v>
      </c>
      <c r="AI6" s="88" t="s">
        <v>6</v>
      </c>
      <c r="AJ6" s="89" t="s">
        <v>67</v>
      </c>
      <c r="AM6" s="81"/>
      <c r="AN6" s="81"/>
      <c r="AO6" s="90"/>
      <c r="AP6" s="90"/>
      <c r="AQ6" s="90"/>
      <c r="AR6" s="90"/>
      <c r="AS6" s="90"/>
      <c r="AT6" s="90"/>
      <c r="AU6" s="90"/>
      <c r="AV6" s="90"/>
      <c r="AW6" s="90"/>
      <c r="AX6" s="90"/>
    </row>
    <row r="7" spans="1:50" ht="228" customHeight="1" x14ac:dyDescent="0.2">
      <c r="A7" s="303" t="str">
        <f>'2 CONTEXTO E IDENTIFICACIÓN'!A6</f>
        <v>R1</v>
      </c>
      <c r="B7" s="304" t="str">
        <f>+'2 CONTEXTO E IDENTIFICACIÓN'!E6</f>
        <v>Posibilidad de pérdida Económica y Reputacional por contaminación ambiental a causa de las descargas de aguas residuales debido a la falta de seguimiento y control a los vertimientos realizados por usuarios diferentes al residencial que hacen uso del alcantarillado público y a la infraestructura de las redes de alcantarillado en condiciones inadecuadas.</v>
      </c>
      <c r="C7" s="121">
        <f>+'3 PROBABIL E IMPACTO INHERENTE'!E7</f>
        <v>0.4</v>
      </c>
      <c r="D7" s="121">
        <f>+'3 PROBABIL E IMPACTO INHERENTE'!M7</f>
        <v>0.8</v>
      </c>
      <c r="E7" s="93" t="str">
        <f>+'4 MAPA CALOR INHERENTE'!C7</f>
        <v>Baja</v>
      </c>
      <c r="F7" s="93" t="str">
        <f>+'4 MAPA CALOR INHERENTE'!D7</f>
        <v>Mayor</v>
      </c>
      <c r="G7" s="356" t="str">
        <f>+'4 MAPA CALOR INHERENTE'!E7</f>
        <v>Alto</v>
      </c>
      <c r="H7" s="121">
        <f>+'6 MAPA CALOR RESIDUAL'!C7</f>
        <v>0.4</v>
      </c>
      <c r="I7" s="93">
        <f>+'6 MAPA CALOR RESIDUAL'!D7</f>
        <v>0.33750000000000002</v>
      </c>
      <c r="J7" s="93" t="str">
        <f>+'6 MAPA CALOR RESIDUAL'!E7</f>
        <v>Baja</v>
      </c>
      <c r="K7" s="93" t="str">
        <f>+'6 MAPA CALOR RESIDUAL'!F7</f>
        <v>Menor</v>
      </c>
      <c r="L7" s="356" t="str">
        <f>+'6 MAPA CALOR RESIDUAL'!G7</f>
        <v>Moderado</v>
      </c>
      <c r="M7" s="356" t="e">
        <f>+IF($N7="","",IF($N7=#REF!,#REF!,IF($N7=$AG$15,$AH$15)))</f>
        <v>#REF!</v>
      </c>
      <c r="N7" s="356" t="e">
        <f>+IF(L7="","",IF(OR(L7=#REF!,L7=$AF$13,L7=$AF$14),#REF!,IF(L7=$AF$15,$AG$15)))</f>
        <v>#REF!</v>
      </c>
      <c r="O7" s="357" t="s">
        <v>124</v>
      </c>
      <c r="P7" s="356" t="e">
        <f>+IF($M7="","",IF($M7=$AH$15,$AG$15,$O7))</f>
        <v>#REF!</v>
      </c>
      <c r="Q7" s="362"/>
      <c r="R7" s="357"/>
      <c r="S7" s="358">
        <v>45839</v>
      </c>
      <c r="T7" s="358">
        <v>46021</v>
      </c>
      <c r="U7" s="211" t="s">
        <v>299</v>
      </c>
      <c r="V7" s="211"/>
      <c r="W7" s="359"/>
      <c r="X7" s="360"/>
      <c r="Y7" s="305"/>
      <c r="Z7" s="357"/>
      <c r="AA7" s="94"/>
      <c r="AB7" s="94"/>
      <c r="AC7" s="367" t="s">
        <v>48</v>
      </c>
      <c r="AD7" s="97">
        <v>1</v>
      </c>
      <c r="AE7" s="88" t="s">
        <v>56</v>
      </c>
      <c r="AF7" s="95" t="s">
        <v>79</v>
      </c>
      <c r="AG7" s="95" t="s">
        <v>79</v>
      </c>
      <c r="AH7" s="95" t="s">
        <v>79</v>
      </c>
      <c r="AI7" s="95" t="s">
        <v>79</v>
      </c>
      <c r="AJ7" s="96" t="s">
        <v>78</v>
      </c>
      <c r="AM7" s="81"/>
      <c r="AN7" s="81"/>
      <c r="AO7" s="90"/>
      <c r="AP7" s="90"/>
      <c r="AQ7" s="90"/>
      <c r="AR7" s="98"/>
      <c r="AS7" s="98"/>
      <c r="AT7" s="98"/>
      <c r="AU7" s="98"/>
      <c r="AV7" s="98"/>
      <c r="AW7" s="90"/>
      <c r="AX7" s="90"/>
    </row>
    <row r="8" spans="1:50" ht="192" customHeight="1" x14ac:dyDescent="0.2">
      <c r="A8" s="91" t="str">
        <f>'2 CONTEXTO E IDENTIFICACIÓN'!A7</f>
        <v>R2</v>
      </c>
      <c r="B8" s="92" t="str">
        <f>+'2 CONTEXTO E IDENTIFICACIÓN'!E7</f>
        <v>Posibilidad de pérdida Económica y Reputacional por la atención inoportuna de las solicitudes de reparación de alcantarillado debido a la falta de seguimiento a las ordenes de trabajo generadas, falta de personal operativo para los grupos de trabajo y falta de asignación de recursos o de disponibilidad de materiales.</v>
      </c>
      <c r="C8" s="121">
        <f>+'3 PROBABIL E IMPACTO INHERENTE'!E9</f>
        <v>0.6</v>
      </c>
      <c r="D8" s="121">
        <f>+'3 PROBABIL E IMPACTO INHERENTE'!M9</f>
        <v>0.8</v>
      </c>
      <c r="E8" s="93" t="str">
        <f>+'4 MAPA CALOR INHERENTE'!C9</f>
        <v>Media</v>
      </c>
      <c r="F8" s="93" t="str">
        <f>+'4 MAPA CALOR INHERENTE'!D9</f>
        <v>Mayor</v>
      </c>
      <c r="G8" s="325" t="str">
        <f>+'4 MAPA CALOR INHERENTE'!E9</f>
        <v>Alto</v>
      </c>
      <c r="H8" s="121">
        <f>+'5 VALORACIÓN DEL CONTROL'!S13</f>
        <v>0.6</v>
      </c>
      <c r="I8" s="93">
        <f>+'5 VALORACIÓN DEL CONTROL'!T13</f>
        <v>0.25312500000000004</v>
      </c>
      <c r="J8" s="93" t="str">
        <f>+IF(H8=0,"",IF(H8&lt;=$AD$10,$AE$10,IF(H8&lt;=$AD$9,$AE$9,IF(H8&lt;=$AD$8,$AE$8,IF(H8&lt;=#REF!,#REF!,IF(H8&lt;=$AD$7,$AE$7,""))))))</f>
        <v>Media</v>
      </c>
      <c r="K8" s="93" t="str">
        <f t="shared" ref="K8:K24" si="0">+IF(I8=0,"",IF(I8&lt;=$AF$5,$AF$6,IF(I8&lt;=$AG$5,$AG$6,IF(I8&lt;=$AH$5,$AH$6,IF(I8&lt;=$AI$5,$AI$6,IF(I8&lt;=$AJ$5,$AJ$6,""))))))</f>
        <v>Menor</v>
      </c>
      <c r="L8" s="325" t="e">
        <f>+IF(J8=$AE$7,IF(K8=$AF$6,$AF$7,IF(K8=$AG$6,$AG$7,IF(K8=$AH$6,$AH$7,IF(K8=$AI$6,$AI$7,IF(K8=$AJ$6,$AJ$7))))),IF(J8=#REF!,IF(K8=$AF$6,#REF!,IF(K8=$AG$6,#REF!,IF(K8=$AH$6,#REF!,IF(K8=$AI$6,#REF!,IF(K8=$AJ$6,#REF!))))),IF(J8=$AE$8,IF(K8=$AF$6,$AF$8,IF(K8=$AG$6,$AG$8,IF(K8=$AH$6,$AH$8,IF(K8=$AI$6,$AI$8,IF(K8=$AJ$6,$AJ$8))))),IF(J8=$AE$9,IF(K8=$AF$6,$AF$9,IF(K8=$AG$6,$AG$9,IF(K8=$AH$6,$AH$9,IF(K8=$AI$6,$AI$9,IF(K8=$AJ$6,$AJ$9))))),IF(J8=$AE$10,IF(K8=$AF$6,$AF$10,IF(K8=$AG$6,$AG$10,IF(K8=$AH$6,$AH$10,IF(K8=$AI$6,$AI$10,IF(K8=$AJ$6,$AJ$10))))),"")))))</f>
        <v>#REF!</v>
      </c>
      <c r="M8" s="325" t="e">
        <f>+IF($N8="","",IF($N8=#REF!,#REF!,IF($N8=$AG$15,$AH$15)))</f>
        <v>#REF!</v>
      </c>
      <c r="N8" s="325" t="e">
        <f>+IF(L8="","",IF(OR(L8=#REF!,L8=$AF$13,L8=$AF$14),#REF!,IF(L8=$AF$15,$AG$15)))</f>
        <v>#REF!</v>
      </c>
      <c r="O8" s="354" t="s">
        <v>124</v>
      </c>
      <c r="P8" s="325" t="e">
        <f>+IF($M8="","",IF($M8=$AH$15,$AG$15,$O8))</f>
        <v>#REF!</v>
      </c>
      <c r="Q8" s="363"/>
      <c r="R8" s="354"/>
      <c r="S8" s="358">
        <v>45839</v>
      </c>
      <c r="T8" s="358">
        <v>46021</v>
      </c>
      <c r="U8" s="211" t="s">
        <v>300</v>
      </c>
      <c r="V8" s="211"/>
      <c r="W8" s="359"/>
      <c r="X8" s="361"/>
      <c r="Y8" s="210"/>
      <c r="Z8" s="354"/>
      <c r="AA8" s="94"/>
      <c r="AB8" s="94"/>
      <c r="AC8" s="368"/>
      <c r="AD8" s="97">
        <v>0.6</v>
      </c>
      <c r="AE8" s="88" t="s">
        <v>53</v>
      </c>
      <c r="AF8" s="99" t="s">
        <v>5</v>
      </c>
      <c r="AG8" s="99" t="s">
        <v>5</v>
      </c>
      <c r="AH8" s="99" t="s">
        <v>5</v>
      </c>
      <c r="AI8" s="95" t="s">
        <v>79</v>
      </c>
      <c r="AJ8" s="96" t="s">
        <v>78</v>
      </c>
      <c r="AM8" s="81"/>
      <c r="AN8" s="81"/>
      <c r="AO8" s="90"/>
      <c r="AP8" s="100"/>
      <c r="AQ8" s="101"/>
      <c r="AR8" s="98"/>
      <c r="AS8" s="98"/>
      <c r="AT8" s="98"/>
      <c r="AU8" s="98"/>
      <c r="AV8" s="102"/>
      <c r="AW8" s="90"/>
      <c r="AX8" s="90"/>
    </row>
    <row r="9" spans="1:50" ht="192" customHeight="1" x14ac:dyDescent="0.2">
      <c r="A9" s="91" t="str">
        <f>'2 CONTEXTO E IDENTIFICACIÓN'!A8</f>
        <v>R3</v>
      </c>
      <c r="B9" s="92" t="str">
        <f>+'2 CONTEXTO E IDENTIFICACIÓN'!E8</f>
        <v>Posibilidad de pérdida Económica y Reputacional por la falta de atención a las afectaciones generadas por actividades de alcantarillado debido a que la parametrización del software permite el cierre de ordenes de trabajo con actividades pendientes.</v>
      </c>
      <c r="C9" s="121">
        <f>+'3 PROBABIL E IMPACTO INHERENTE'!E10</f>
        <v>0.4</v>
      </c>
      <c r="D9" s="121">
        <f>+'3 PROBABIL E IMPACTO INHERENTE'!M10</f>
        <v>0.8</v>
      </c>
      <c r="E9" s="93" t="str">
        <f>+'4 MAPA CALOR INHERENTE'!C10</f>
        <v>Baja</v>
      </c>
      <c r="F9" s="93" t="str">
        <f>+'4 MAPA CALOR INHERENTE'!D10</f>
        <v>Mayor</v>
      </c>
      <c r="G9" s="325" t="str">
        <f>+'4 MAPA CALOR INHERENTE'!E10</f>
        <v>Alto</v>
      </c>
      <c r="H9" s="121">
        <f>+'5 VALORACIÓN DEL CONTROL'!S17</f>
        <v>0.4</v>
      </c>
      <c r="I9" s="93">
        <f>+'5 VALORACIÓN DEL CONTROL'!T17</f>
        <v>0.45000000000000007</v>
      </c>
      <c r="J9" s="93" t="str">
        <f>+IF(H9=0,"",IF(H9&lt;=$AD$10,$AE$10,IF(H9&lt;=$AD$9,$AE$9,IF(H9&lt;=$AD$8,$AE$8,IF(H9&lt;=#REF!,#REF!,IF(H9&lt;=$AD$7,$AE$7,""))))))</f>
        <v>Baja</v>
      </c>
      <c r="K9" s="93" t="str">
        <f t="shared" si="0"/>
        <v>Moderado</v>
      </c>
      <c r="L9" s="325" t="e">
        <f>+IF(J9=$AE$7,IF(K9=$AF$6,$AF$7,IF(K9=$AG$6,$AG$7,IF(K9=$AH$6,$AH$7,IF(K9=$AI$6,$AI$7,IF(K9=$AJ$6,$AJ$7))))),IF(J9=#REF!,IF(K9=$AF$6,#REF!,IF(K9=$AG$6,#REF!,IF(K9=$AH$6,#REF!,IF(K9=$AI$6,#REF!,IF(K9=$AJ$6,#REF!))))),IF(J9=$AE$8,IF(K9=$AF$6,$AF$8,IF(K9=$AG$6,$AG$8,IF(K9=$AH$6,$AH$8,IF(K9=$AI$6,$AI$8,IF(K9=$AJ$6,$AJ$8))))),IF(J9=$AE$9,IF(K9=$AF$6,$AF$9,IF(K9=$AG$6,$AG$9,IF(K9=$AH$6,$AH$9,IF(K9=$AI$6,$AI$9,IF(K9=$AJ$6,$AJ$9))))),IF(J9=$AE$10,IF(K9=$AF$6,$AF$10,IF(K9=$AG$6,$AG$10,IF(K9=$AH$6,$AH$10,IF(K9=$AI$6,$AI$10,IF(K9=$AJ$6,$AJ$10))))),"")))))</f>
        <v>#REF!</v>
      </c>
      <c r="M9" s="325" t="e">
        <f>+IF($N9="","",IF($N9=#REF!,#REF!,IF($N9=$AG$15,$AH$15)))</f>
        <v>#REF!</v>
      </c>
      <c r="N9" s="325" t="e">
        <f>+IF(L9="","",IF(OR(L9=#REF!,L9=$AF$13,L9=$AF$14),#REF!,IF(L9=$AF$15,$AG$15)))</f>
        <v>#REF!</v>
      </c>
      <c r="O9" s="354" t="s">
        <v>124</v>
      </c>
      <c r="P9" s="325" t="e">
        <f>+IF($M9="","",IF($M9=$AH$15,$AG$15,$O9))</f>
        <v>#REF!</v>
      </c>
      <c r="Q9" s="363"/>
      <c r="R9" s="354"/>
      <c r="S9" s="358">
        <v>45839</v>
      </c>
      <c r="T9" s="358">
        <v>46021</v>
      </c>
      <c r="U9" s="211" t="s">
        <v>301</v>
      </c>
      <c r="V9" s="211"/>
      <c r="W9" s="361"/>
      <c r="X9" s="361"/>
      <c r="Y9" s="210"/>
      <c r="Z9" s="354"/>
      <c r="AA9" s="94"/>
      <c r="AB9" s="94"/>
      <c r="AC9" s="368"/>
      <c r="AD9" s="97">
        <v>0.4</v>
      </c>
      <c r="AE9" s="88" t="s">
        <v>51</v>
      </c>
      <c r="AF9" s="103" t="s">
        <v>80</v>
      </c>
      <c r="AG9" s="99" t="s">
        <v>5</v>
      </c>
      <c r="AH9" s="99" t="s">
        <v>5</v>
      </c>
      <c r="AI9" s="95" t="s">
        <v>79</v>
      </c>
      <c r="AJ9" s="96" t="s">
        <v>78</v>
      </c>
      <c r="AM9" s="81"/>
      <c r="AN9" s="81"/>
      <c r="AO9" s="90"/>
      <c r="AP9" s="100"/>
      <c r="AQ9" s="101"/>
      <c r="AR9" s="98"/>
      <c r="AS9" s="98"/>
      <c r="AT9" s="98"/>
      <c r="AU9" s="102"/>
      <c r="AV9" s="98"/>
      <c r="AW9" s="90"/>
      <c r="AX9" s="90"/>
    </row>
    <row r="10" spans="1:50" ht="43.5" customHeight="1" thickBot="1" x14ac:dyDescent="0.25">
      <c r="A10" s="91" t="str">
        <f>'2 CONTEXTO E IDENTIFICACIÓN'!A9</f>
        <v>R4</v>
      </c>
      <c r="B10" s="92" t="str">
        <f>+'2 CONTEXTO E IDENTIFICACIÓN'!E9</f>
        <v>Posibilidad de pérdida Económica y Reputacional Por la captacion del caudal de las plantas de tratamiento  de los municipios  por encima del lt/s consecionados  Debido a la falta de medicion en el sistema de las bocatomas</v>
      </c>
      <c r="C10" s="126">
        <f>+'3 PROBABIL E IMPACTO INHERENTE'!E11</f>
        <v>0.6</v>
      </c>
      <c r="D10" s="126">
        <f>+'3 PROBABIL E IMPACTO INHERENTE'!M11</f>
        <v>0.8</v>
      </c>
      <c r="E10" s="122" t="str">
        <f>+'4 MAPA CALOR INHERENTE'!C11</f>
        <v>Media</v>
      </c>
      <c r="F10" s="122" t="str">
        <f>+'4 MAPA CALOR INHERENTE'!D11</f>
        <v>Mayor</v>
      </c>
      <c r="G10" s="92" t="str">
        <f>+'4 MAPA CALOR INHERENTE'!E11</f>
        <v>Alto</v>
      </c>
      <c r="H10" s="121">
        <f>+'5 VALORACIÓN DEL CONTROL'!S21</f>
        <v>0.6</v>
      </c>
      <c r="I10" s="93">
        <f>+'5 VALORACIÓN DEL CONTROL'!T21</f>
        <v>0.8</v>
      </c>
      <c r="J10" s="122" t="str">
        <f>+IF(H10=0,"",IF(H10&lt;=$AD$10,$AE$10,IF(H10&lt;=$AD$9,$AE$9,IF(H10&lt;=$AD$8,$AE$8,IF(H10&lt;=#REF!,#REF!,IF(H10&lt;=$AD$7,$AE$7,""))))))</f>
        <v>Media</v>
      </c>
      <c r="K10" s="122" t="str">
        <f t="shared" si="0"/>
        <v>Mayor</v>
      </c>
      <c r="L10" s="92" t="e">
        <f>+IF(J10=$AE$7,IF(K10=$AF$6,$AF$7,IF(K10=$AG$6,$AG$7,IF(K10=$AH$6,$AH$7,IF(K10=$AI$6,$AI$7,IF(K10=$AJ$6,$AJ$7))))),IF(J10=#REF!,IF(K10=$AF$6,#REF!,IF(K10=$AG$6,#REF!,IF(K10=$AH$6,#REF!,IF(K10=$AI$6,#REF!,IF(K10=$AJ$6,#REF!))))),IF(J10=$AE$8,IF(K10=$AF$6,$AF$8,IF(K10=$AG$6,$AG$8,IF(K10=$AH$6,$AH$8,IF(K10=$AI$6,$AI$8,IF(K10=$AJ$6,$AJ$8))))),IF(J10=$AE$9,IF(K10=$AF$6,$AF$9,IF(K10=$AG$6,$AG$9,IF(K10=$AH$6,$AH$9,IF(K10=$AI$6,$AI$9,IF(K10=$AJ$6,$AJ$9))))),IF(J10=$AE$10,IF(K10=$AF$6,$AF$10,IF(K10=$AG$6,$AG$10,IF(K10=$AH$6,$AH$10,IF(K10=$AI$6,$AI$10,IF(K10=$AJ$6,$AJ$10))))),"")))))</f>
        <v>#REF!</v>
      </c>
      <c r="M10" s="92" t="e">
        <f>+IF($N10="","",IF($N10=#REF!,#REF!,IF($N10=$AG$15,$AH$15)))</f>
        <v>#REF!</v>
      </c>
      <c r="N10" s="92" t="e">
        <f>+IF(L10="","",IF(OR(L10=#REF!,L10=$AF$13,L10=$AF$14),#REF!,IF(L10=$AF$15,$AG$15)))</f>
        <v>#REF!</v>
      </c>
      <c r="O10" s="210"/>
      <c r="P10" s="92" t="e">
        <f>+IF($M10="","",IF($M10=$AH$15,$AG$15,$O10))</f>
        <v>#REF!</v>
      </c>
      <c r="Q10" s="210"/>
      <c r="R10" s="210"/>
      <c r="S10" s="358">
        <v>45839</v>
      </c>
      <c r="T10" s="358">
        <v>46021</v>
      </c>
      <c r="U10" s="211" t="s">
        <v>327</v>
      </c>
      <c r="V10" s="210"/>
      <c r="W10" s="210"/>
      <c r="X10" s="210"/>
      <c r="Y10" s="210"/>
      <c r="Z10" s="210"/>
      <c r="AA10" s="94"/>
      <c r="AB10" s="94"/>
      <c r="AC10" s="369"/>
      <c r="AD10" s="109">
        <v>0.2</v>
      </c>
      <c r="AE10" s="110" t="s">
        <v>49</v>
      </c>
      <c r="AF10" s="105" t="s">
        <v>80</v>
      </c>
      <c r="AG10" s="105" t="s">
        <v>80</v>
      </c>
      <c r="AH10" s="106" t="s">
        <v>5</v>
      </c>
      <c r="AI10" s="107" t="s">
        <v>79</v>
      </c>
      <c r="AJ10" s="108" t="s">
        <v>78</v>
      </c>
      <c r="AM10" s="81"/>
      <c r="AN10" s="81"/>
      <c r="AO10" s="90"/>
      <c r="AP10" s="100"/>
      <c r="AQ10" s="101"/>
      <c r="AR10" s="98"/>
      <c r="AS10" s="98"/>
      <c r="AT10" s="98"/>
      <c r="AU10" s="111"/>
      <c r="AV10" s="98"/>
      <c r="AW10" s="90"/>
      <c r="AX10" s="90"/>
    </row>
    <row r="11" spans="1:50" ht="43.5" customHeight="1" x14ac:dyDescent="0.2">
      <c r="A11" s="91" t="str">
        <f>'2 CONTEXTO E IDENTIFICACIÓN'!A10</f>
        <v>R5</v>
      </c>
      <c r="B11" s="92" t="str">
        <f>+'2 CONTEXTO E IDENTIFICACIÓN'!E10</f>
        <v>Posibilidad de pérdida Económica y Reputacional por condiciones de calidad de agua cruda que no permite tratabilidad y afectaciones de tipo climático debido a crecientes que generan arrastre de solidos y elevacion en los niveles de turbierdad en agua cruda</v>
      </c>
      <c r="C11" s="126">
        <f>+'3 PROBABIL E IMPACTO INHERENTE'!E12</f>
        <v>0.6</v>
      </c>
      <c r="D11" s="126">
        <f>+'3 PROBABIL E IMPACTO INHERENTE'!M12</f>
        <v>0.8</v>
      </c>
      <c r="E11" s="122" t="str">
        <f>+'4 MAPA CALOR INHERENTE'!C12</f>
        <v>Media</v>
      </c>
      <c r="F11" s="122" t="str">
        <f>+'4 MAPA CALOR INHERENTE'!D12</f>
        <v>Mayor</v>
      </c>
      <c r="G11" s="92" t="str">
        <f>+'4 MAPA CALOR INHERENTE'!E12</f>
        <v>Alto</v>
      </c>
      <c r="H11" s="121">
        <f>+'5 VALORACIÓN DEL CONTROL'!S25</f>
        <v>0.6</v>
      </c>
      <c r="I11" s="93">
        <f>+'5 VALORACIÓN DEL CONTROL'!T25</f>
        <v>0.8</v>
      </c>
      <c r="J11" s="122" t="str">
        <f>+IF(H11=0,"",IF(H11&lt;=$AD$10,$AE$10,IF(H11&lt;=$AD$9,$AE$9,IF(H11&lt;=$AD$8,$AE$8,IF(H11&lt;=#REF!,#REF!,IF(H11&lt;=$AD$7,$AE$7,""))))))</f>
        <v>Media</v>
      </c>
      <c r="K11" s="122" t="str">
        <f t="shared" si="0"/>
        <v>Mayor</v>
      </c>
      <c r="L11" s="92" t="e">
        <f>+IF(J11=$AE$7,IF(K11=$AF$6,$AF$7,IF(K11=$AG$6,$AG$7,IF(K11=$AH$6,$AH$7,IF(K11=$AI$6,$AI$7,IF(K11=$AJ$6,$AJ$7))))),IF(J11=#REF!,IF(K11=$AF$6,#REF!,IF(K11=$AG$6,#REF!,IF(K11=$AH$6,#REF!,IF(K11=$AI$6,#REF!,IF(K11=$AJ$6,#REF!))))),IF(J11=$AE$8,IF(K11=$AF$6,$AF$8,IF(K11=$AG$6,$AG$8,IF(K11=$AH$6,$AH$8,IF(K11=$AI$6,$AI$8,IF(K11=$AJ$6,$AJ$8))))),IF(J11=$AE$9,IF(K11=$AF$6,$AF$9,IF(K11=$AG$6,$AG$9,IF(K11=$AH$6,$AH$9,IF(K11=$AI$6,$AI$9,IF(K11=$AJ$6,$AJ$9))))),IF(J11=$AE$10,IF(K11=$AF$6,$AF$10,IF(K11=$AG$6,$AG$10,IF(K11=$AH$6,$AH$10,IF(K11=$AI$6,$AI$10,IF(K11=$AJ$6,$AJ$10))))),"")))))</f>
        <v>#REF!</v>
      </c>
      <c r="M11" s="92" t="e">
        <f>+IF($N11="","",IF($N11=#REF!,#REF!,IF($N11=$AG$15,$AH$15)))</f>
        <v>#REF!</v>
      </c>
      <c r="N11" s="92" t="e">
        <f>+IF(L11="","",IF(OR(L11=#REF!,L11=$AF$13,L11=$AF$14),#REF!,IF(L11=$AF$15,$AG$15)))</f>
        <v>#REF!</v>
      </c>
      <c r="O11" s="210"/>
      <c r="P11" s="92" t="e">
        <f>+IF($M11="","",IF($M11=$AH$15,$AG$15,$O11))</f>
        <v>#REF!</v>
      </c>
      <c r="Q11" s="210"/>
      <c r="R11" s="210"/>
      <c r="S11" s="358">
        <v>45839</v>
      </c>
      <c r="T11" s="358">
        <v>46021</v>
      </c>
      <c r="U11" s="211" t="s">
        <v>328</v>
      </c>
      <c r="V11" s="210"/>
      <c r="W11" s="210"/>
      <c r="X11" s="210"/>
      <c r="Y11" s="210"/>
      <c r="Z11" s="210"/>
      <c r="AA11" s="94"/>
      <c r="AB11" s="94"/>
      <c r="AM11" s="81"/>
      <c r="AN11" s="81"/>
      <c r="AO11" s="90"/>
      <c r="AP11" s="100"/>
      <c r="AQ11" s="101"/>
      <c r="AR11" s="98"/>
      <c r="AS11" s="98"/>
      <c r="AT11" s="98"/>
      <c r="AU11" s="98"/>
      <c r="AV11" s="98"/>
      <c r="AW11" s="90"/>
      <c r="AX11" s="90"/>
    </row>
    <row r="12" spans="1:50" ht="43.5" customHeight="1" x14ac:dyDescent="0.2">
      <c r="A12" s="91" t="str">
        <f>'2 CONTEXTO E IDENTIFICACIÓN'!A11</f>
        <v>R6</v>
      </c>
      <c r="B12" s="92" t="str">
        <f>+'2 CONTEXTO E IDENTIFICACIÓN'!E11</f>
        <v>Posibilidad de pérdida Económica y Reputacional por el aumento en el índice de agua no contabilizada por pérdidas técnicas  debido a la infraestructura de produccion ,almacenameinto y distribucion en condiciones inadecuadas,  y la reparación inoportuna de fugas y daños en las redes de acueducto.</v>
      </c>
      <c r="C12" s="126">
        <f>+'3 PROBABIL E IMPACTO INHERENTE'!E13</f>
        <v>0.6</v>
      </c>
      <c r="D12" s="126">
        <f>+'3 PROBABIL E IMPACTO INHERENTE'!M13</f>
        <v>0.8</v>
      </c>
      <c r="E12" s="122" t="str">
        <f>+'4 MAPA CALOR INHERENTE'!C13</f>
        <v>Media</v>
      </c>
      <c r="F12" s="122" t="str">
        <f>+'4 MAPA CALOR INHERENTE'!D13</f>
        <v>Mayor</v>
      </c>
      <c r="G12" s="92" t="str">
        <f>+'4 MAPA CALOR INHERENTE'!E13</f>
        <v>Alto</v>
      </c>
      <c r="H12" s="121">
        <f>+'5 VALORACIÓN DEL CONTROL'!S29</f>
        <v>0.6</v>
      </c>
      <c r="I12" s="93">
        <f>+'5 VALORACIÓN DEL CONTROL'!T29</f>
        <v>0.8</v>
      </c>
      <c r="J12" s="122" t="str">
        <f>+IF(H12=0,"",IF(H12&lt;=$AD$10,$AE$10,IF(H12&lt;=$AD$9,$AE$9,IF(H12&lt;=$AD$8,$AE$8,IF(H12&lt;=#REF!,#REF!,IF(H12&lt;=$AD$7,$AE$7,""))))))</f>
        <v>Media</v>
      </c>
      <c r="K12" s="122" t="str">
        <f t="shared" si="0"/>
        <v>Mayor</v>
      </c>
      <c r="L12" s="92" t="e">
        <f>+IF(J12=$AE$7,IF(K12=$AF$6,$AF$7,IF(K12=$AG$6,$AG$7,IF(K12=$AH$6,$AH$7,IF(K12=$AI$6,$AI$7,IF(K12=$AJ$6,$AJ$7))))),IF(J12=#REF!,IF(K12=$AF$6,#REF!,IF(K12=$AG$6,#REF!,IF(K12=$AH$6,#REF!,IF(K12=$AI$6,#REF!,IF(K12=$AJ$6,#REF!))))),IF(J12=$AE$8,IF(K12=$AF$6,$AF$8,IF(K12=$AG$6,$AG$8,IF(K12=$AH$6,$AH$8,IF(K12=$AI$6,$AI$8,IF(K12=$AJ$6,$AJ$8))))),IF(J12=$AE$9,IF(K12=$AF$6,$AF$9,IF(K12=$AG$6,$AG$9,IF(K12=$AH$6,$AH$9,IF(K12=$AI$6,$AI$9,IF(K12=$AJ$6,$AJ$9))))),IF(J12=$AE$10,IF(K12=$AF$6,$AF$10,IF(K12=$AG$6,$AG$10,IF(K12=$AH$6,$AH$10,IF(K12=$AI$6,$AI$10,IF(K12=$AJ$6,$AJ$10))))),"")))))</f>
        <v>#REF!</v>
      </c>
      <c r="M12" s="92" t="e">
        <f>+IF($N12="","",IF($N12=#REF!,#REF!,IF($N12=$AG$15,$AH$15)))</f>
        <v>#REF!</v>
      </c>
      <c r="N12" s="92" t="e">
        <f>+IF(L12="","",IF(OR(L12=#REF!,L12=$AF$13,L12=$AF$14),#REF!,IF(L12=$AF$15,$AG$15)))</f>
        <v>#REF!</v>
      </c>
      <c r="O12" s="210"/>
      <c r="P12" s="92" t="e">
        <f>+IF($M12="","",IF($M12=$AH$15,$AG$15,$O12))</f>
        <v>#REF!</v>
      </c>
      <c r="Q12" s="210"/>
      <c r="R12" s="210"/>
      <c r="S12" s="358">
        <v>45839</v>
      </c>
      <c r="T12" s="358">
        <v>46021</v>
      </c>
      <c r="U12" s="211" t="s">
        <v>329</v>
      </c>
      <c r="V12" s="210"/>
      <c r="W12" s="210"/>
      <c r="X12" s="210"/>
      <c r="Y12" s="210"/>
      <c r="Z12" s="210"/>
      <c r="AA12" s="94"/>
      <c r="AB12" s="94"/>
      <c r="AF12" s="83" t="s">
        <v>82</v>
      </c>
      <c r="AG12" s="83" t="s">
        <v>119</v>
      </c>
      <c r="AH12" s="83" t="s">
        <v>168</v>
      </c>
      <c r="AJ12" s="87" t="s">
        <v>268</v>
      </c>
      <c r="AK12" s="81"/>
      <c r="AL12" s="81"/>
      <c r="AM12" s="81"/>
      <c r="AN12" s="81"/>
      <c r="AO12" s="90"/>
      <c r="AP12" s="100"/>
      <c r="AQ12" s="90"/>
      <c r="AR12" s="101"/>
      <c r="AS12" s="101"/>
      <c r="AT12" s="101"/>
      <c r="AU12" s="101"/>
      <c r="AV12" s="101"/>
      <c r="AW12" s="90"/>
      <c r="AX12" s="90"/>
    </row>
    <row r="13" spans="1:50" ht="43.5" customHeight="1" x14ac:dyDescent="0.2">
      <c r="A13" s="91" t="str">
        <f>'2 CONTEXTO E IDENTIFICACIÓN'!A12</f>
        <v>R7</v>
      </c>
      <c r="B13" s="92" t="str">
        <f>+'2 CONTEXTO E IDENTIFICACIÓN'!E12</f>
        <v>Posibilidad de pérdida Económica y Reputacional por la atención inoportuna de las solicitudes de reparación de acueducto debido a la falta de seguimiento a las ordenes de trabajo generadas, falta de personal operativo para los grupos de trabajo y falta de asignación de recursos o de disponibilidad de materiales.</v>
      </c>
      <c r="C13" s="126">
        <f>+'3 PROBABIL E IMPACTO INHERENTE'!E15</f>
        <v>0.6</v>
      </c>
      <c r="D13" s="126">
        <f>+'3 PROBABIL E IMPACTO INHERENTE'!M15</f>
        <v>0.6</v>
      </c>
      <c r="E13" s="122" t="str">
        <f>+'4 MAPA CALOR INHERENTE'!C15</f>
        <v>Media</v>
      </c>
      <c r="F13" s="122" t="str">
        <f>+'4 MAPA CALOR INHERENTE'!D15</f>
        <v>Moderado</v>
      </c>
      <c r="G13" s="92" t="str">
        <f>+'4 MAPA CALOR INHERENTE'!E15</f>
        <v>Moderado</v>
      </c>
      <c r="H13" s="121">
        <f>+'5 VALORACIÓN DEL CONTROL'!S33</f>
        <v>0.6</v>
      </c>
      <c r="I13" s="93">
        <f>+'5 VALORACIÓN DEL CONTROL'!T33</f>
        <v>0.6</v>
      </c>
      <c r="J13" s="122" t="str">
        <f>+IF(H13=0,"",IF(H13&lt;=$AD$10,$AE$10,IF(H13&lt;=$AD$9,$AE$9,IF(H13&lt;=$AD$8,$AE$8,IF(H13&lt;=#REF!,#REF!,IF(H13&lt;=$AD$7,$AE$7,""))))))</f>
        <v>Media</v>
      </c>
      <c r="K13" s="122" t="str">
        <f t="shared" si="0"/>
        <v>Moderado</v>
      </c>
      <c r="L13" s="92" t="e">
        <f>+IF(J13=$AE$7,IF(K13=$AF$6,$AF$7,IF(K13=$AG$6,$AG$7,IF(K13=$AH$6,$AH$7,IF(K13=$AI$6,$AI$7,IF(K13=$AJ$6,$AJ$7))))),IF(J13=#REF!,IF(K13=$AF$6,#REF!,IF(K13=$AG$6,#REF!,IF(K13=$AH$6,#REF!,IF(K13=$AI$6,#REF!,IF(K13=$AJ$6,#REF!))))),IF(J13=$AE$8,IF(K13=$AF$6,$AF$8,IF(K13=$AG$6,$AG$8,IF(K13=$AH$6,$AH$8,IF(K13=$AI$6,$AI$8,IF(K13=$AJ$6,$AJ$8))))),IF(J13=$AE$9,IF(K13=$AF$6,$AF$9,IF(K13=$AG$6,$AG$9,IF(K13=$AH$6,$AH$9,IF(K13=$AI$6,$AI$9,IF(K13=$AJ$6,$AJ$9))))),IF(J13=$AE$10,IF(K13=$AF$6,$AF$10,IF(K13=$AG$6,$AG$10,IF(K13=$AH$6,$AH$10,IF(K13=$AI$6,$AI$10,IF(K13=$AJ$6,$AJ$10))))),"")))))</f>
        <v>#REF!</v>
      </c>
      <c r="M13" s="92" t="e">
        <f>+IF($N13="","",IF($N13=#REF!,#REF!,IF($N13=$AG$15,$AH$15)))</f>
        <v>#REF!</v>
      </c>
      <c r="N13" s="92" t="e">
        <f>+IF(L13="","",IF(OR(L13=#REF!,L13=$AF$13,L13=$AF$14),#REF!,IF(L13=$AF$15,$AG$15)))</f>
        <v>#REF!</v>
      </c>
      <c r="O13" s="210"/>
      <c r="P13" s="92" t="e">
        <f>+IF($M13="","",IF($M13=$AH$15,$AG$15,$O13))</f>
        <v>#REF!</v>
      </c>
      <c r="Q13" s="210"/>
      <c r="R13" s="210"/>
      <c r="S13" s="358">
        <v>45839</v>
      </c>
      <c r="T13" s="358">
        <v>46021</v>
      </c>
      <c r="U13" s="211" t="s">
        <v>330</v>
      </c>
      <c r="V13" s="210"/>
      <c r="W13" s="210"/>
      <c r="X13" s="210"/>
      <c r="Y13" s="210"/>
      <c r="Z13" s="210"/>
      <c r="AA13" s="94"/>
      <c r="AB13" s="94"/>
      <c r="AF13" s="95" t="s">
        <v>79</v>
      </c>
      <c r="AG13" s="87" t="s">
        <v>268</v>
      </c>
      <c r="AH13" s="87" t="s">
        <v>169</v>
      </c>
      <c r="AI13" s="81"/>
      <c r="AJ13" s="290" t="s">
        <v>267</v>
      </c>
      <c r="AK13" s="81"/>
      <c r="AL13" s="81"/>
      <c r="AM13" s="81"/>
      <c r="AN13" s="81"/>
      <c r="AO13" s="90"/>
      <c r="AP13" s="90"/>
      <c r="AQ13" s="90"/>
      <c r="AR13" s="98"/>
      <c r="AS13" s="98"/>
      <c r="AT13" s="98"/>
      <c r="AU13" s="98"/>
      <c r="AV13" s="98"/>
      <c r="AW13" s="90"/>
      <c r="AX13" s="90"/>
    </row>
    <row r="14" spans="1:50" ht="43.5" customHeight="1" x14ac:dyDescent="0.2">
      <c r="A14" s="91" t="str">
        <f>'2 CONTEXTO E IDENTIFICACIÓN'!A13</f>
        <v>R10</v>
      </c>
      <c r="B14" s="92" t="str">
        <f>+'2 CONTEXTO E IDENTIFICACIÓN'!E13</f>
        <v xml:space="preserve">  </v>
      </c>
      <c r="C14" s="126" t="str">
        <f>+'3 PROBABIL E IMPACTO INHERENTE'!E16</f>
        <v/>
      </c>
      <c r="D14" s="126" t="str">
        <f>+'3 PROBABIL E IMPACTO INHERENTE'!M16</f>
        <v/>
      </c>
      <c r="E14" s="122" t="str">
        <f>+'4 MAPA CALOR INHERENTE'!C16</f>
        <v/>
      </c>
      <c r="F14" s="122" t="str">
        <f>+'4 MAPA CALOR INHERENTE'!D16</f>
        <v/>
      </c>
      <c r="G14" s="92" t="str">
        <f>+'4 MAPA CALOR INHERENTE'!E16</f>
        <v/>
      </c>
      <c r="H14" s="121" t="str">
        <f>+'5 VALORACIÓN DEL CONTROL'!S37</f>
        <v/>
      </c>
      <c r="I14" s="93" t="str">
        <f>+'5 VALORACIÓN DEL CONTROL'!T37</f>
        <v/>
      </c>
      <c r="J14" s="122" t="e">
        <f>+IF(H14=0,"",IF(H14&lt;=$AD$10,$AE$10,IF(H14&lt;=$AD$9,$AE$9,IF(H14&lt;=$AD$8,$AE$8,IF(H14&lt;=#REF!,#REF!,IF(H14&lt;=$AD$7,$AE$7,""))))))</f>
        <v>#REF!</v>
      </c>
      <c r="K14" s="122" t="str">
        <f t="shared" si="0"/>
        <v/>
      </c>
      <c r="L14" s="92" t="e">
        <f>+IF(J14=$AE$7,IF(K14=$AF$6,$AF$7,IF(K14=$AG$6,$AG$7,IF(K14=$AH$6,$AH$7,IF(K14=$AI$6,$AI$7,IF(K14=$AJ$6,$AJ$7))))),IF(J14=#REF!,IF(K14=$AF$6,#REF!,IF(K14=$AG$6,#REF!,IF(K14=$AH$6,#REF!,IF(K14=$AI$6,#REF!,IF(K14=$AJ$6,#REF!))))),IF(J14=$AE$8,IF(K14=$AF$6,$AF$8,IF(K14=$AG$6,$AG$8,IF(K14=$AH$6,$AH$8,IF(K14=$AI$6,$AI$8,IF(K14=$AJ$6,$AJ$8))))),IF(J14=$AE$9,IF(K14=$AF$6,$AF$9,IF(K14=$AG$6,$AG$9,IF(K14=$AH$6,$AH$9,IF(K14=$AI$6,$AI$9,IF(K14=$AJ$6,$AJ$9))))),IF(J14=$AE$10,IF(K14=$AF$6,$AF$10,IF(K14=$AG$6,$AG$10,IF(K14=$AH$6,$AH$10,IF(K14=$AI$6,$AI$10,IF(K14=$AJ$6,$AJ$10))))),"")))))</f>
        <v>#REF!</v>
      </c>
      <c r="M14" s="92" t="e">
        <f>+IF($N14="","",IF($N14=#REF!,#REF!,IF($N14=$AG$15,$AH$15)))</f>
        <v>#REF!</v>
      </c>
      <c r="N14" s="92" t="e">
        <f>+IF(L14="","",IF(OR(L14=#REF!,L14=$AF$13,L14=$AF$14),#REF!,IF(L14=$AF$15,$AG$15)))</f>
        <v>#REF!</v>
      </c>
      <c r="O14" s="210"/>
      <c r="P14" s="92" t="e">
        <f>+IF($M14="","",IF($M14=$AH$15,$AG$15,$O14))</f>
        <v>#REF!</v>
      </c>
      <c r="Q14" s="210"/>
      <c r="R14" s="210"/>
      <c r="S14" s="358"/>
      <c r="T14" s="358"/>
      <c r="U14" s="210"/>
      <c r="V14" s="210"/>
      <c r="W14" s="210"/>
      <c r="X14" s="210"/>
      <c r="Y14" s="210"/>
      <c r="Z14" s="210"/>
      <c r="AA14" s="94"/>
      <c r="AB14" s="94"/>
      <c r="AE14" s="113"/>
      <c r="AF14" s="99" t="s">
        <v>5</v>
      </c>
      <c r="AG14" s="87" t="s">
        <v>268</v>
      </c>
      <c r="AH14" s="87" t="s">
        <v>169</v>
      </c>
      <c r="AI14" s="113"/>
      <c r="AJ14" s="290" t="s">
        <v>124</v>
      </c>
      <c r="AK14" s="113"/>
      <c r="AL14" s="113"/>
      <c r="AM14" s="113"/>
      <c r="AN14" s="113"/>
      <c r="AO14" s="90"/>
      <c r="AP14" s="90"/>
      <c r="AQ14" s="114"/>
      <c r="AR14" s="114"/>
      <c r="AS14" s="114"/>
      <c r="AT14" s="114"/>
      <c r="AU14" s="114"/>
      <c r="AV14" s="114"/>
      <c r="AW14" s="90"/>
      <c r="AX14" s="90"/>
    </row>
    <row r="15" spans="1:50" ht="43.5" customHeight="1" x14ac:dyDescent="0.2">
      <c r="A15" s="91" t="str">
        <f>'2 CONTEXTO E IDENTIFICACIÓN'!A14</f>
        <v>R11</v>
      </c>
      <c r="B15" s="92" t="str">
        <f>+'2 CONTEXTO E IDENTIFICACIÓN'!E14</f>
        <v xml:space="preserve">  </v>
      </c>
      <c r="C15" s="126" t="str">
        <f>+'3 PROBABIL E IMPACTO INHERENTE'!E17</f>
        <v/>
      </c>
      <c r="D15" s="126" t="str">
        <f>+'3 PROBABIL E IMPACTO INHERENTE'!M17</f>
        <v/>
      </c>
      <c r="E15" s="122" t="str">
        <f>+'4 MAPA CALOR INHERENTE'!C17</f>
        <v/>
      </c>
      <c r="F15" s="122" t="str">
        <f>+'4 MAPA CALOR INHERENTE'!D17</f>
        <v/>
      </c>
      <c r="G15" s="92" t="str">
        <f>+'4 MAPA CALOR INHERENTE'!E17</f>
        <v/>
      </c>
      <c r="H15" s="121" t="str">
        <f>+'5 VALORACIÓN DEL CONTROL'!S41</f>
        <v/>
      </c>
      <c r="I15" s="93" t="str">
        <f>+'5 VALORACIÓN DEL CONTROL'!T41</f>
        <v/>
      </c>
      <c r="J15" s="122" t="e">
        <f>+IF(H15=0,"",IF(H15&lt;=$AD$10,$AE$10,IF(H15&lt;=$AD$9,$AE$9,IF(H15&lt;=$AD$8,$AE$8,IF(H15&lt;=#REF!,#REF!,IF(H15&lt;=$AD$7,$AE$7,""))))))</f>
        <v>#REF!</v>
      </c>
      <c r="K15" s="122" t="str">
        <f t="shared" si="0"/>
        <v/>
      </c>
      <c r="L15" s="92" t="e">
        <f>+IF(J15=$AE$7,IF(K15=$AF$6,$AF$7,IF(K15=$AG$6,$AG$7,IF(K15=$AH$6,$AH$7,IF(K15=$AI$6,$AI$7,IF(K15=$AJ$6,$AJ$7))))),IF(J15=#REF!,IF(K15=$AF$6,#REF!,IF(K15=$AG$6,#REF!,IF(K15=$AH$6,#REF!,IF(K15=$AI$6,#REF!,IF(K15=$AJ$6,#REF!))))),IF(J15=$AE$8,IF(K15=$AF$6,$AF$8,IF(K15=$AG$6,$AG$8,IF(K15=$AH$6,$AH$8,IF(K15=$AI$6,$AI$8,IF(K15=$AJ$6,$AJ$8))))),IF(J15=$AE$9,IF(K15=$AF$6,$AF$9,IF(K15=$AG$6,$AG$9,IF(K15=$AH$6,$AH$9,IF(K15=$AI$6,$AI$9,IF(K15=$AJ$6,$AJ$9))))),IF(J15=$AE$10,IF(K15=$AF$6,$AF$10,IF(K15=$AG$6,$AG$10,IF(K15=$AH$6,$AH$10,IF(K15=$AI$6,$AI$10,IF(K15=$AJ$6,$AJ$10))))),"")))))</f>
        <v>#REF!</v>
      </c>
      <c r="M15" s="92" t="e">
        <f>+IF($N15="","",IF($N15=#REF!,#REF!,IF($N15=$AG$15,$AH$15)))</f>
        <v>#REF!</v>
      </c>
      <c r="N15" s="92" t="e">
        <f>+IF(L15="","",IF(OR(L15=#REF!,L15=$AF$13,L15=$AF$14),#REF!,IF(L15=$AF$15,$AG$15)))</f>
        <v>#REF!</v>
      </c>
      <c r="O15" s="210"/>
      <c r="P15" s="92" t="e">
        <f>+IF($M15="","",IF($M15=$AH$15,$AG$15,$O15))</f>
        <v>#REF!</v>
      </c>
      <c r="Q15" s="210"/>
      <c r="R15" s="210"/>
      <c r="S15" s="358"/>
      <c r="T15" s="358"/>
      <c r="U15" s="210"/>
      <c r="V15" s="210"/>
      <c r="W15" s="210"/>
      <c r="X15" s="210"/>
      <c r="Y15" s="210"/>
      <c r="Z15" s="210"/>
      <c r="AA15" s="94"/>
      <c r="AB15" s="94"/>
      <c r="AE15" s="113"/>
      <c r="AF15" s="103" t="s">
        <v>80</v>
      </c>
      <c r="AG15" s="87" t="s">
        <v>123</v>
      </c>
      <c r="AH15" s="87" t="s">
        <v>170</v>
      </c>
      <c r="AM15" s="113"/>
      <c r="AN15" s="113"/>
      <c r="AO15" s="90"/>
      <c r="AP15" s="90"/>
      <c r="AQ15" s="90"/>
      <c r="AR15" s="98"/>
      <c r="AS15" s="98"/>
      <c r="AT15" s="98"/>
      <c r="AU15" s="98"/>
      <c r="AV15" s="98"/>
      <c r="AW15" s="90"/>
      <c r="AX15" s="90"/>
    </row>
    <row r="16" spans="1:50" ht="43.5" customHeight="1" x14ac:dyDescent="0.2">
      <c r="A16" s="91" t="str">
        <f>'2 CONTEXTO E IDENTIFICACIÓN'!A15</f>
        <v>R12</v>
      </c>
      <c r="B16" s="92" t="str">
        <f>+'2 CONTEXTO E IDENTIFICACIÓN'!E15</f>
        <v xml:space="preserve">  </v>
      </c>
      <c r="C16" s="126" t="str">
        <f>+'3 PROBABIL E IMPACTO INHERENTE'!E18</f>
        <v/>
      </c>
      <c r="D16" s="126" t="str">
        <f>+'3 PROBABIL E IMPACTO INHERENTE'!M18</f>
        <v/>
      </c>
      <c r="E16" s="122" t="str">
        <f>+'4 MAPA CALOR INHERENTE'!C18</f>
        <v/>
      </c>
      <c r="F16" s="122" t="str">
        <f>+'4 MAPA CALOR INHERENTE'!D18</f>
        <v/>
      </c>
      <c r="G16" s="92" t="str">
        <f>+'4 MAPA CALOR INHERENTE'!E18</f>
        <v/>
      </c>
      <c r="H16" s="121" t="str">
        <f>+'5 VALORACIÓN DEL CONTROL'!S45</f>
        <v/>
      </c>
      <c r="I16" s="93" t="str">
        <f>+'5 VALORACIÓN DEL CONTROL'!T45</f>
        <v/>
      </c>
      <c r="J16" s="122" t="e">
        <f>+IF(H16=0,"",IF(H16&lt;=$AD$10,$AE$10,IF(H16&lt;=$AD$9,$AE$9,IF(H16&lt;=$AD$8,$AE$8,IF(H16&lt;=#REF!,#REF!,IF(H16&lt;=$AD$7,$AE$7,""))))))</f>
        <v>#REF!</v>
      </c>
      <c r="K16" s="122" t="str">
        <f t="shared" si="0"/>
        <v/>
      </c>
      <c r="L16" s="92" t="e">
        <f>+IF(J16=$AE$7,IF(K16=$AF$6,$AF$7,IF(K16=$AG$6,$AG$7,IF(K16=$AH$6,$AH$7,IF(K16=$AI$6,$AI$7,IF(K16=$AJ$6,$AJ$7))))),IF(J16=#REF!,IF(K16=$AF$6,#REF!,IF(K16=$AG$6,#REF!,IF(K16=$AH$6,#REF!,IF(K16=$AI$6,#REF!,IF(K16=$AJ$6,#REF!))))),IF(J16=$AE$8,IF(K16=$AF$6,$AF$8,IF(K16=$AG$6,$AG$8,IF(K16=$AH$6,$AH$8,IF(K16=$AI$6,$AI$8,IF(K16=$AJ$6,$AJ$8))))),IF(J16=$AE$9,IF(K16=$AF$6,$AF$9,IF(K16=$AG$6,$AG$9,IF(K16=$AH$6,$AH$9,IF(K16=$AI$6,$AI$9,IF(K16=$AJ$6,$AJ$9))))),IF(J16=$AE$10,IF(K16=$AF$6,$AF$10,IF(K16=$AG$6,$AG$10,IF(K16=$AH$6,$AH$10,IF(K16=$AI$6,$AI$10,IF(K16=$AJ$6,$AJ$10))))),"")))))</f>
        <v>#REF!</v>
      </c>
      <c r="M16" s="92" t="e">
        <f>+IF($N16="","",IF($N16=#REF!,#REF!,IF($N16=$AG$15,$AH$15)))</f>
        <v>#REF!</v>
      </c>
      <c r="N16" s="92" t="e">
        <f>+IF(L16="","",IF(OR(L16=#REF!,L16=$AF$13,L16=$AF$14),#REF!,IF(L16=$AF$15,$AG$15)))</f>
        <v>#REF!</v>
      </c>
      <c r="O16" s="210"/>
      <c r="P16" s="92" t="e">
        <f>+IF($M16="","",IF($M16=$AH$15,$AG$15,$O16))</f>
        <v>#REF!</v>
      </c>
      <c r="Q16" s="210"/>
      <c r="R16" s="210"/>
      <c r="S16" s="211"/>
      <c r="T16" s="211"/>
      <c r="U16" s="210"/>
      <c r="V16" s="210"/>
      <c r="W16" s="210"/>
      <c r="X16" s="210"/>
      <c r="Y16" s="210"/>
      <c r="Z16" s="210"/>
      <c r="AA16" s="94"/>
      <c r="AB16" s="94"/>
      <c r="AC16" s="115"/>
      <c r="AD16" s="115"/>
      <c r="AE16" s="113"/>
      <c r="AF16" s="187"/>
      <c r="AM16" s="113"/>
      <c r="AN16" s="113"/>
      <c r="AO16" s="90"/>
      <c r="AP16" s="90"/>
      <c r="AQ16" s="90"/>
      <c r="AR16" s="98"/>
      <c r="AS16" s="98"/>
      <c r="AT16" s="98"/>
      <c r="AU16" s="98"/>
      <c r="AV16" s="98"/>
      <c r="AW16" s="90"/>
      <c r="AX16" s="90"/>
    </row>
    <row r="17" spans="1:50" ht="43.5" customHeight="1" x14ac:dyDescent="0.2">
      <c r="A17" s="91" t="str">
        <f>'2 CONTEXTO E IDENTIFICACIÓN'!A16</f>
        <v>R13</v>
      </c>
      <c r="B17" s="92" t="str">
        <f>+'2 CONTEXTO E IDENTIFICACIÓN'!E16</f>
        <v xml:space="preserve">  </v>
      </c>
      <c r="C17" s="126" t="str">
        <f>+'3 PROBABIL E IMPACTO INHERENTE'!E19</f>
        <v/>
      </c>
      <c r="D17" s="126" t="str">
        <f>+'3 PROBABIL E IMPACTO INHERENTE'!M19</f>
        <v/>
      </c>
      <c r="E17" s="122" t="str">
        <f>+'4 MAPA CALOR INHERENTE'!C19</f>
        <v/>
      </c>
      <c r="F17" s="122" t="str">
        <f>+'4 MAPA CALOR INHERENTE'!D19</f>
        <v/>
      </c>
      <c r="G17" s="92" t="str">
        <f>+'4 MAPA CALOR INHERENTE'!E19</f>
        <v/>
      </c>
      <c r="H17" s="121" t="str">
        <f>+'5 VALORACIÓN DEL CONTROL'!S49</f>
        <v/>
      </c>
      <c r="I17" s="93" t="str">
        <f>+'5 VALORACIÓN DEL CONTROL'!T49</f>
        <v/>
      </c>
      <c r="J17" s="122" t="e">
        <f>+IF(H17=0,"",IF(H17&lt;=$AD$10,$AE$10,IF(H17&lt;=$AD$9,$AE$9,IF(H17&lt;=$AD$8,$AE$8,IF(H17&lt;=#REF!,#REF!,IF(H17&lt;=$AD$7,$AE$7,""))))))</f>
        <v>#REF!</v>
      </c>
      <c r="K17" s="122" t="str">
        <f t="shared" si="0"/>
        <v/>
      </c>
      <c r="L17" s="92" t="e">
        <f>+IF(J17=$AE$7,IF(K17=$AF$6,$AF$7,IF(K17=$AG$6,$AG$7,IF(K17=$AH$6,$AH$7,IF(K17=$AI$6,$AI$7,IF(K17=$AJ$6,$AJ$7))))),IF(J17=#REF!,IF(K17=$AF$6,#REF!,IF(K17=$AG$6,#REF!,IF(K17=$AH$6,#REF!,IF(K17=$AI$6,#REF!,IF(K17=$AJ$6,#REF!))))),IF(J17=$AE$8,IF(K17=$AF$6,$AF$8,IF(K17=$AG$6,$AG$8,IF(K17=$AH$6,$AH$8,IF(K17=$AI$6,$AI$8,IF(K17=$AJ$6,$AJ$8))))),IF(J17=$AE$9,IF(K17=$AF$6,$AF$9,IF(K17=$AG$6,$AG$9,IF(K17=$AH$6,$AH$9,IF(K17=$AI$6,$AI$9,IF(K17=$AJ$6,$AJ$9))))),IF(J17=$AE$10,IF(K17=$AF$6,$AF$10,IF(K17=$AG$6,$AG$10,IF(K17=$AH$6,$AH$10,IF(K17=$AI$6,$AI$10,IF(K17=$AJ$6,$AJ$10))))),"")))))</f>
        <v>#REF!</v>
      </c>
      <c r="M17" s="92" t="e">
        <f>+IF($N17="","",IF($N17=#REF!,#REF!,IF($N17=$AG$15,$AH$15)))</f>
        <v>#REF!</v>
      </c>
      <c r="N17" s="92" t="e">
        <f>+IF(L17="","",IF(OR(L17=#REF!,L17=$AF$13,L17=$AF$14),#REF!,IF(L17=$AF$15,$AG$15)))</f>
        <v>#REF!</v>
      </c>
      <c r="O17" s="210"/>
      <c r="P17" s="92" t="e">
        <f>+IF($M17="","",IF($M17=$AH$15,$AG$15,$O17))</f>
        <v>#REF!</v>
      </c>
      <c r="Q17" s="210"/>
      <c r="R17" s="210"/>
      <c r="S17" s="211"/>
      <c r="T17" s="211"/>
      <c r="U17" s="210"/>
      <c r="V17" s="210"/>
      <c r="W17" s="210"/>
      <c r="X17" s="210"/>
      <c r="Y17" s="210"/>
      <c r="Z17" s="210"/>
      <c r="AA17" s="94"/>
      <c r="AB17" s="94"/>
      <c r="AC17" s="115"/>
      <c r="AD17" s="115"/>
      <c r="AE17" s="116"/>
      <c r="AM17" s="113"/>
      <c r="AN17" s="113"/>
      <c r="AO17" s="90"/>
      <c r="AP17" s="111"/>
      <c r="AQ17" s="111"/>
      <c r="AR17" s="111"/>
      <c r="AS17" s="111"/>
      <c r="AT17" s="111"/>
      <c r="AU17" s="111"/>
      <c r="AV17" s="98"/>
      <c r="AW17" s="90"/>
      <c r="AX17" s="90"/>
    </row>
    <row r="18" spans="1:50" ht="43.5" customHeight="1" x14ac:dyDescent="0.2">
      <c r="A18" s="91" t="str">
        <f>'2 CONTEXTO E IDENTIFICACIÓN'!A17</f>
        <v>R14</v>
      </c>
      <c r="B18" s="92" t="str">
        <f>+'2 CONTEXTO E IDENTIFICACIÓN'!E17</f>
        <v xml:space="preserve">  </v>
      </c>
      <c r="C18" s="126" t="str">
        <f>+'3 PROBABIL E IMPACTO INHERENTE'!E20</f>
        <v/>
      </c>
      <c r="D18" s="126" t="str">
        <f>+'3 PROBABIL E IMPACTO INHERENTE'!M20</f>
        <v/>
      </c>
      <c r="E18" s="122" t="str">
        <f>+'4 MAPA CALOR INHERENTE'!C20</f>
        <v/>
      </c>
      <c r="F18" s="122" t="str">
        <f>+'4 MAPA CALOR INHERENTE'!D20</f>
        <v/>
      </c>
      <c r="G18" s="92" t="str">
        <f>+'4 MAPA CALOR INHERENTE'!E20</f>
        <v/>
      </c>
      <c r="H18" s="121" t="str">
        <f>+'5 VALORACIÓN DEL CONTROL'!S53</f>
        <v/>
      </c>
      <c r="I18" s="93" t="str">
        <f>+'5 VALORACIÓN DEL CONTROL'!T53</f>
        <v/>
      </c>
      <c r="J18" s="122" t="e">
        <f>+IF(H18=0,"",IF(H18&lt;=$AD$10,$AE$10,IF(H18&lt;=$AD$9,$AE$9,IF(H18&lt;=$AD$8,$AE$8,IF(H18&lt;=#REF!,#REF!,IF(H18&lt;=$AD$7,$AE$7,""))))))</f>
        <v>#REF!</v>
      </c>
      <c r="K18" s="122" t="str">
        <f t="shared" si="0"/>
        <v/>
      </c>
      <c r="L18" s="92" t="e">
        <f>+IF(J18=$AE$7,IF(K18=$AF$6,$AF$7,IF(K18=$AG$6,$AG$7,IF(K18=$AH$6,$AH$7,IF(K18=$AI$6,$AI$7,IF(K18=$AJ$6,$AJ$7))))),IF(J18=#REF!,IF(K18=$AF$6,#REF!,IF(K18=$AG$6,#REF!,IF(K18=$AH$6,#REF!,IF(K18=$AI$6,#REF!,IF(K18=$AJ$6,#REF!))))),IF(J18=$AE$8,IF(K18=$AF$6,$AF$8,IF(K18=$AG$6,$AG$8,IF(K18=$AH$6,$AH$8,IF(K18=$AI$6,$AI$8,IF(K18=$AJ$6,$AJ$8))))),IF(J18=$AE$9,IF(K18=$AF$6,$AF$9,IF(K18=$AG$6,$AG$9,IF(K18=$AH$6,$AH$9,IF(K18=$AI$6,$AI$9,IF(K18=$AJ$6,$AJ$9))))),IF(J18=$AE$10,IF(K18=$AF$6,$AF$10,IF(K18=$AG$6,$AG$10,IF(K18=$AH$6,$AH$10,IF(K18=$AI$6,$AI$10,IF(K18=$AJ$6,$AJ$10))))),"")))))</f>
        <v>#REF!</v>
      </c>
      <c r="M18" s="92" t="e">
        <f>+IF($N18="","",IF($N18=#REF!,#REF!,IF($N18=$AG$15,$AH$15)))</f>
        <v>#REF!</v>
      </c>
      <c r="N18" s="92" t="e">
        <f>+IF(L18="","",IF(OR(L18=#REF!,L18=$AF$13,L18=$AF$14),#REF!,IF(L18=$AF$15,$AG$15)))</f>
        <v>#REF!</v>
      </c>
      <c r="O18" s="210"/>
      <c r="P18" s="92" t="e">
        <f>+IF($M18="","",IF($M18=$AH$15,$AG$15,$O18))</f>
        <v>#REF!</v>
      </c>
      <c r="Q18" s="210"/>
      <c r="R18" s="210"/>
      <c r="S18" s="211"/>
      <c r="T18" s="211"/>
      <c r="U18" s="210"/>
      <c r="V18" s="210"/>
      <c r="W18" s="210"/>
      <c r="X18" s="210"/>
      <c r="Y18" s="210"/>
      <c r="Z18" s="210"/>
      <c r="AA18" s="94"/>
      <c r="AB18" s="94"/>
      <c r="AC18" s="115"/>
      <c r="AD18" s="115"/>
      <c r="AO18" s="90"/>
      <c r="AP18" s="117"/>
      <c r="AQ18" s="117"/>
      <c r="AR18" s="117"/>
      <c r="AS18" s="117"/>
      <c r="AT18" s="117"/>
      <c r="AU18" s="117"/>
      <c r="AV18" s="98"/>
      <c r="AW18" s="90"/>
      <c r="AX18" s="90"/>
    </row>
    <row r="19" spans="1:50" ht="43.5" customHeight="1" x14ac:dyDescent="0.2">
      <c r="A19" s="91" t="str">
        <f>'2 CONTEXTO E IDENTIFICACIÓN'!A18</f>
        <v>R15</v>
      </c>
      <c r="B19" s="92" t="str">
        <f>+'2 CONTEXTO E IDENTIFICACIÓN'!E18</f>
        <v xml:space="preserve">  </v>
      </c>
      <c r="C19" s="126" t="str">
        <f>+'3 PROBABIL E IMPACTO INHERENTE'!E21</f>
        <v/>
      </c>
      <c r="D19" s="126" t="str">
        <f>+'3 PROBABIL E IMPACTO INHERENTE'!M21</f>
        <v/>
      </c>
      <c r="E19" s="122" t="str">
        <f>+'4 MAPA CALOR INHERENTE'!C21</f>
        <v/>
      </c>
      <c r="F19" s="122" t="str">
        <f>+'4 MAPA CALOR INHERENTE'!D21</f>
        <v/>
      </c>
      <c r="G19" s="92" t="str">
        <f>+'4 MAPA CALOR INHERENTE'!E21</f>
        <v/>
      </c>
      <c r="H19" s="121" t="str">
        <f>+'5 VALORACIÓN DEL CONTROL'!S57</f>
        <v/>
      </c>
      <c r="I19" s="93" t="str">
        <f>+'5 VALORACIÓN DEL CONTROL'!T57</f>
        <v/>
      </c>
      <c r="J19" s="122" t="e">
        <f>+IF(H19=0,"",IF(H19&lt;=$AD$10,$AE$10,IF(H19&lt;=$AD$9,$AE$9,IF(H19&lt;=$AD$8,$AE$8,IF(H19&lt;=#REF!,#REF!,IF(H19&lt;=$AD$7,$AE$7,""))))))</f>
        <v>#REF!</v>
      </c>
      <c r="K19" s="122" t="str">
        <f t="shared" si="0"/>
        <v/>
      </c>
      <c r="L19" s="92" t="e">
        <f>+IF(J19=$AE$7,IF(K19=$AF$6,$AF$7,IF(K19=$AG$6,$AG$7,IF(K19=$AH$6,$AH$7,IF(K19=$AI$6,$AI$7,IF(K19=$AJ$6,$AJ$7))))),IF(J19=#REF!,IF(K19=$AF$6,#REF!,IF(K19=$AG$6,#REF!,IF(K19=$AH$6,#REF!,IF(K19=$AI$6,#REF!,IF(K19=$AJ$6,#REF!))))),IF(J19=$AE$8,IF(K19=$AF$6,$AF$8,IF(K19=$AG$6,$AG$8,IF(K19=$AH$6,$AH$8,IF(K19=$AI$6,$AI$8,IF(K19=$AJ$6,$AJ$8))))),IF(J19=$AE$9,IF(K19=$AF$6,$AF$9,IF(K19=$AG$6,$AG$9,IF(K19=$AH$6,$AH$9,IF(K19=$AI$6,$AI$9,IF(K19=$AJ$6,$AJ$9))))),IF(J19=$AE$10,IF(K19=$AF$6,$AF$10,IF(K19=$AG$6,$AG$10,IF(K19=$AH$6,$AH$10,IF(K19=$AI$6,$AI$10,IF(K19=$AJ$6,$AJ$10))))),"")))))</f>
        <v>#REF!</v>
      </c>
      <c r="M19" s="92" t="e">
        <f>+IF($N19="","",IF($N19=#REF!,#REF!,IF($N19=$AG$15,$AH$15)))</f>
        <v>#REF!</v>
      </c>
      <c r="N19" s="92" t="e">
        <f>+IF(L19="","",IF(OR(L19=#REF!,L19=$AF$13,L19=$AF$14),#REF!,IF(L19=$AF$15,$AG$15)))</f>
        <v>#REF!</v>
      </c>
      <c r="O19" s="210"/>
      <c r="P19" s="92" t="e">
        <f>+IF($M19="","",IF($M19=$AH$15,$AG$15,$O19))</f>
        <v>#REF!</v>
      </c>
      <c r="Q19" s="210"/>
      <c r="R19" s="210"/>
      <c r="S19" s="211"/>
      <c r="T19" s="211"/>
      <c r="U19" s="210"/>
      <c r="V19" s="210"/>
      <c r="W19" s="210"/>
      <c r="X19" s="210"/>
      <c r="Y19" s="210"/>
      <c r="Z19" s="210"/>
      <c r="AA19" s="94"/>
      <c r="AB19" s="94"/>
      <c r="AC19" s="115"/>
      <c r="AD19" s="115"/>
      <c r="AO19" s="90"/>
      <c r="AP19" s="111"/>
      <c r="AQ19" s="111"/>
      <c r="AR19" s="111"/>
      <c r="AS19" s="111"/>
      <c r="AT19" s="111"/>
      <c r="AU19" s="111"/>
      <c r="AV19" s="98"/>
      <c r="AW19" s="90"/>
      <c r="AX19" s="90"/>
    </row>
    <row r="20" spans="1:50" ht="43.5" customHeight="1" x14ac:dyDescent="0.2">
      <c r="A20" s="91" t="str">
        <f>'2 CONTEXTO E IDENTIFICACIÓN'!A19</f>
        <v>R16</v>
      </c>
      <c r="B20" s="92" t="str">
        <f>+'2 CONTEXTO E IDENTIFICACIÓN'!E19</f>
        <v xml:space="preserve">  </v>
      </c>
      <c r="C20" s="126" t="str">
        <f>+'3 PROBABIL E IMPACTO INHERENTE'!E22</f>
        <v/>
      </c>
      <c r="D20" s="126" t="str">
        <f>+'3 PROBABIL E IMPACTO INHERENTE'!M22</f>
        <v/>
      </c>
      <c r="E20" s="122" t="str">
        <f>+'4 MAPA CALOR INHERENTE'!C22</f>
        <v/>
      </c>
      <c r="F20" s="122" t="str">
        <f>+'4 MAPA CALOR INHERENTE'!D22</f>
        <v/>
      </c>
      <c r="G20" s="92" t="str">
        <f>+'4 MAPA CALOR INHERENTE'!E22</f>
        <v/>
      </c>
      <c r="H20" s="121" t="str">
        <f>+'5 VALORACIÓN DEL CONTROL'!S61</f>
        <v/>
      </c>
      <c r="I20" s="93" t="str">
        <f>+'5 VALORACIÓN DEL CONTROL'!T61</f>
        <v/>
      </c>
      <c r="J20" s="122" t="e">
        <f>+IF(H20=0,"",IF(H20&lt;=$AD$10,$AE$10,IF(H20&lt;=$AD$9,$AE$9,IF(H20&lt;=$AD$8,$AE$8,IF(H20&lt;=#REF!,#REF!,IF(H20&lt;=$AD$7,$AE$7,""))))))</f>
        <v>#REF!</v>
      </c>
      <c r="K20" s="122" t="str">
        <f t="shared" si="0"/>
        <v/>
      </c>
      <c r="L20" s="92" t="e">
        <f>+IF(J20=$AE$7,IF(K20=$AF$6,$AF$7,IF(K20=$AG$6,$AG$7,IF(K20=$AH$6,$AH$7,IF(K20=$AI$6,$AI$7,IF(K20=$AJ$6,$AJ$7))))),IF(J20=#REF!,IF(K20=$AF$6,#REF!,IF(K20=$AG$6,#REF!,IF(K20=$AH$6,#REF!,IF(K20=$AI$6,#REF!,IF(K20=$AJ$6,#REF!))))),IF(J20=$AE$8,IF(K20=$AF$6,$AF$8,IF(K20=$AG$6,$AG$8,IF(K20=$AH$6,$AH$8,IF(K20=$AI$6,$AI$8,IF(K20=$AJ$6,$AJ$8))))),IF(J20=$AE$9,IF(K20=$AF$6,$AF$9,IF(K20=$AG$6,$AG$9,IF(K20=$AH$6,$AH$9,IF(K20=$AI$6,$AI$9,IF(K20=$AJ$6,$AJ$9))))),IF(J20=$AE$10,IF(K20=$AF$6,$AF$10,IF(K20=$AG$6,$AG$10,IF(K20=$AH$6,$AH$10,IF(K20=$AI$6,$AI$10,IF(K20=$AJ$6,$AJ$10))))),"")))))</f>
        <v>#REF!</v>
      </c>
      <c r="M20" s="92" t="e">
        <f>+IF($N20="","",IF($N20=#REF!,#REF!,IF($N20=$AG$15,$AH$15)))</f>
        <v>#REF!</v>
      </c>
      <c r="N20" s="92" t="e">
        <f>+IF(L20="","",IF(OR(L20=#REF!,L20=$AF$13,L20=$AF$14),#REF!,IF(L20=$AF$15,$AG$15)))</f>
        <v>#REF!</v>
      </c>
      <c r="O20" s="210"/>
      <c r="P20" s="92" t="e">
        <f>+IF($M20="","",IF($M20=$AH$15,$AG$15,$O20))</f>
        <v>#REF!</v>
      </c>
      <c r="Q20" s="210"/>
      <c r="R20" s="210"/>
      <c r="S20" s="211"/>
      <c r="T20" s="211"/>
      <c r="U20" s="210"/>
      <c r="V20" s="210"/>
      <c r="W20" s="210"/>
      <c r="X20" s="210"/>
      <c r="Y20" s="210"/>
      <c r="Z20" s="210"/>
      <c r="AA20" s="94"/>
      <c r="AB20" s="94"/>
      <c r="AO20" s="90"/>
      <c r="AP20" s="111"/>
      <c r="AQ20" s="111"/>
      <c r="AR20" s="111"/>
      <c r="AS20" s="111"/>
      <c r="AT20" s="111"/>
      <c r="AU20" s="111"/>
      <c r="AV20" s="98"/>
      <c r="AW20" s="90"/>
      <c r="AX20" s="90"/>
    </row>
    <row r="21" spans="1:50" ht="43.5" customHeight="1" x14ac:dyDescent="0.25">
      <c r="A21" s="91" t="str">
        <f>'2 CONTEXTO E IDENTIFICACIÓN'!A20</f>
        <v>R17</v>
      </c>
      <c r="B21" s="92" t="str">
        <f>+'2 CONTEXTO E IDENTIFICACIÓN'!E20</f>
        <v xml:space="preserve">  </v>
      </c>
      <c r="C21" s="126" t="str">
        <f>+'3 PROBABIL E IMPACTO INHERENTE'!E23</f>
        <v/>
      </c>
      <c r="D21" s="126" t="str">
        <f>+'3 PROBABIL E IMPACTO INHERENTE'!M23</f>
        <v/>
      </c>
      <c r="E21" s="122" t="str">
        <f>+'4 MAPA CALOR INHERENTE'!C23</f>
        <v/>
      </c>
      <c r="F21" s="122" t="str">
        <f>+'4 MAPA CALOR INHERENTE'!D23</f>
        <v/>
      </c>
      <c r="G21" s="92" t="str">
        <f>+'4 MAPA CALOR INHERENTE'!E23</f>
        <v/>
      </c>
      <c r="H21" s="121" t="str">
        <f>+'5 VALORACIÓN DEL CONTROL'!S65</f>
        <v/>
      </c>
      <c r="I21" s="93" t="str">
        <f>+'5 VALORACIÓN DEL CONTROL'!T65</f>
        <v/>
      </c>
      <c r="J21" s="122" t="e">
        <f>+IF(H21=0,"",IF(H21&lt;=$AD$10,$AE$10,IF(H21&lt;=$AD$9,$AE$9,IF(H21&lt;=$AD$8,$AE$8,IF(H21&lt;=#REF!,#REF!,IF(H21&lt;=$AD$7,$AE$7,""))))))</f>
        <v>#REF!</v>
      </c>
      <c r="K21" s="122" t="str">
        <f t="shared" si="0"/>
        <v/>
      </c>
      <c r="L21" s="92" t="e">
        <f>+IF(J21=$AE$7,IF(K21=$AF$6,$AF$7,IF(K21=$AG$6,$AG$7,IF(K21=$AH$6,$AH$7,IF(K21=$AI$6,$AI$7,IF(K21=$AJ$6,$AJ$7))))),IF(J21=#REF!,IF(K21=$AF$6,#REF!,IF(K21=$AG$6,#REF!,IF(K21=$AH$6,#REF!,IF(K21=$AI$6,#REF!,IF(K21=$AJ$6,#REF!))))),IF(J21=$AE$8,IF(K21=$AF$6,$AF$8,IF(K21=$AG$6,$AG$8,IF(K21=$AH$6,$AH$8,IF(K21=$AI$6,$AI$8,IF(K21=$AJ$6,$AJ$8))))),IF(J21=$AE$9,IF(K21=$AF$6,$AF$9,IF(K21=$AG$6,$AG$9,IF(K21=$AH$6,$AH$9,IF(K21=$AI$6,$AI$9,IF(K21=$AJ$6,$AJ$9))))),IF(J21=$AE$10,IF(K21=$AF$6,$AF$10,IF(K21=$AG$6,$AG$10,IF(K21=$AH$6,$AH$10,IF(K21=$AI$6,$AI$10,IF(K21=$AJ$6,$AJ$10))))),"")))))</f>
        <v>#REF!</v>
      </c>
      <c r="M21" s="92" t="e">
        <f>+IF($N21="","",IF($N21=#REF!,#REF!,IF($N21=$AG$15,$AH$15)))</f>
        <v>#REF!</v>
      </c>
      <c r="N21" s="92" t="e">
        <f>+IF(L21="","",IF(OR(L21=#REF!,L21=$AF$13,L21=$AF$14),#REF!,IF(L21=$AF$15,$AG$15)))</f>
        <v>#REF!</v>
      </c>
      <c r="O21" s="210"/>
      <c r="P21" s="92" t="e">
        <f>+IF($M21="","",IF($M21=$AH$15,$AG$15,$O21))</f>
        <v>#REF!</v>
      </c>
      <c r="Q21" s="210"/>
      <c r="R21" s="210"/>
      <c r="S21" s="211"/>
      <c r="T21" s="211"/>
      <c r="U21" s="210"/>
      <c r="V21" s="210"/>
      <c r="W21" s="210"/>
      <c r="X21" s="210"/>
      <c r="Y21" s="210"/>
      <c r="Z21" s="210"/>
      <c r="AA21" s="94"/>
      <c r="AB21" s="94"/>
    </row>
    <row r="22" spans="1:50" ht="43.5" customHeight="1" x14ac:dyDescent="0.25">
      <c r="A22" s="91" t="str">
        <f>'2 CONTEXTO E IDENTIFICACIÓN'!A21</f>
        <v>R18</v>
      </c>
      <c r="B22" s="92" t="str">
        <f>+'2 CONTEXTO E IDENTIFICACIÓN'!E21</f>
        <v xml:space="preserve">  </v>
      </c>
      <c r="C22" s="126" t="str">
        <f>+'3 PROBABIL E IMPACTO INHERENTE'!E24</f>
        <v/>
      </c>
      <c r="D22" s="126" t="str">
        <f>+'3 PROBABIL E IMPACTO INHERENTE'!M24</f>
        <v/>
      </c>
      <c r="E22" s="122" t="str">
        <f>+'4 MAPA CALOR INHERENTE'!C24</f>
        <v/>
      </c>
      <c r="F22" s="122" t="str">
        <f>+'4 MAPA CALOR INHERENTE'!D24</f>
        <v/>
      </c>
      <c r="G22" s="92" t="str">
        <f>+'4 MAPA CALOR INHERENTE'!E24</f>
        <v/>
      </c>
      <c r="H22" s="121" t="str">
        <f>+'5 VALORACIÓN DEL CONTROL'!S69</f>
        <v/>
      </c>
      <c r="I22" s="93" t="str">
        <f>+'5 VALORACIÓN DEL CONTROL'!T69</f>
        <v/>
      </c>
      <c r="J22" s="122" t="e">
        <f>+IF(H22=0,"",IF(H22&lt;=$AD$10,$AE$10,IF(H22&lt;=$AD$9,$AE$9,IF(H22&lt;=$AD$8,$AE$8,IF(H22&lt;=#REF!,#REF!,IF(H22&lt;=$AD$7,$AE$7,""))))))</f>
        <v>#REF!</v>
      </c>
      <c r="K22" s="122" t="str">
        <f t="shared" si="0"/>
        <v/>
      </c>
      <c r="L22" s="92" t="e">
        <f>+IF(J22=$AE$7,IF(K22=$AF$6,$AF$7,IF(K22=$AG$6,$AG$7,IF(K22=$AH$6,$AH$7,IF(K22=$AI$6,$AI$7,IF(K22=$AJ$6,$AJ$7))))),IF(J22=#REF!,IF(K22=$AF$6,#REF!,IF(K22=$AG$6,#REF!,IF(K22=$AH$6,#REF!,IF(K22=$AI$6,#REF!,IF(K22=$AJ$6,#REF!))))),IF(J22=$AE$8,IF(K22=$AF$6,$AF$8,IF(K22=$AG$6,$AG$8,IF(K22=$AH$6,$AH$8,IF(K22=$AI$6,$AI$8,IF(K22=$AJ$6,$AJ$8))))),IF(J22=$AE$9,IF(K22=$AF$6,$AF$9,IF(K22=$AG$6,$AG$9,IF(K22=$AH$6,$AH$9,IF(K22=$AI$6,$AI$9,IF(K22=$AJ$6,$AJ$9))))),IF(J22=$AE$10,IF(K22=$AF$6,$AF$10,IF(K22=$AG$6,$AG$10,IF(K22=$AH$6,$AH$10,IF(K22=$AI$6,$AI$10,IF(K22=$AJ$6,$AJ$10))))),"")))))</f>
        <v>#REF!</v>
      </c>
      <c r="M22" s="92" t="e">
        <f>+IF($N22="","",IF($N22=#REF!,#REF!,IF($N22=$AG$15,$AH$15)))</f>
        <v>#REF!</v>
      </c>
      <c r="N22" s="92" t="e">
        <f>+IF(L22="","",IF(OR(L22=#REF!,L22=$AF$13,L22=$AF$14),#REF!,IF(L22=$AF$15,$AG$15)))</f>
        <v>#REF!</v>
      </c>
      <c r="O22" s="210"/>
      <c r="P22" s="92" t="e">
        <f>+IF($M22="","",IF($M22=$AH$15,$AG$15,$O22))</f>
        <v>#REF!</v>
      </c>
      <c r="Q22" s="210"/>
      <c r="R22" s="210"/>
      <c r="S22" s="211"/>
      <c r="T22" s="211"/>
      <c r="U22" s="210"/>
      <c r="V22" s="210"/>
      <c r="W22" s="210"/>
      <c r="X22" s="210"/>
      <c r="Y22" s="210"/>
      <c r="Z22" s="210"/>
      <c r="AA22" s="94"/>
      <c r="AB22" s="94"/>
    </row>
    <row r="23" spans="1:50" ht="43.5" customHeight="1" x14ac:dyDescent="0.25">
      <c r="A23" s="91" t="str">
        <f>'2 CONTEXTO E IDENTIFICACIÓN'!A22</f>
        <v>R19</v>
      </c>
      <c r="B23" s="92" t="str">
        <f>+'2 CONTEXTO E IDENTIFICACIÓN'!E22</f>
        <v xml:space="preserve">  </v>
      </c>
      <c r="C23" s="126" t="str">
        <f>+'3 PROBABIL E IMPACTO INHERENTE'!E25</f>
        <v/>
      </c>
      <c r="D23" s="126" t="str">
        <f>+'3 PROBABIL E IMPACTO INHERENTE'!M25</f>
        <v/>
      </c>
      <c r="E23" s="122" t="str">
        <f>+'4 MAPA CALOR INHERENTE'!C25</f>
        <v/>
      </c>
      <c r="F23" s="122" t="str">
        <f>+'4 MAPA CALOR INHERENTE'!D25</f>
        <v/>
      </c>
      <c r="G23" s="92" t="str">
        <f>+'4 MAPA CALOR INHERENTE'!E25</f>
        <v/>
      </c>
      <c r="H23" s="121" t="str">
        <f>+'5 VALORACIÓN DEL CONTROL'!S73</f>
        <v/>
      </c>
      <c r="I23" s="93" t="str">
        <f>+'5 VALORACIÓN DEL CONTROL'!T73</f>
        <v/>
      </c>
      <c r="J23" s="122" t="e">
        <f>+IF(H23=0,"",IF(H23&lt;=$AD$10,$AE$10,IF(H23&lt;=$AD$9,$AE$9,IF(H23&lt;=$AD$8,$AE$8,IF(H23&lt;=#REF!,#REF!,IF(H23&lt;=$AD$7,$AE$7,""))))))</f>
        <v>#REF!</v>
      </c>
      <c r="K23" s="122" t="str">
        <f t="shared" si="0"/>
        <v/>
      </c>
      <c r="L23" s="92" t="e">
        <f>+IF(J23=$AE$7,IF(K23=$AF$6,$AF$7,IF(K23=$AG$6,$AG$7,IF(K23=$AH$6,$AH$7,IF(K23=$AI$6,$AI$7,IF(K23=$AJ$6,$AJ$7))))),IF(J23=#REF!,IF(K23=$AF$6,#REF!,IF(K23=$AG$6,#REF!,IF(K23=$AH$6,#REF!,IF(K23=$AI$6,#REF!,IF(K23=$AJ$6,#REF!))))),IF(J23=$AE$8,IF(K23=$AF$6,$AF$8,IF(K23=$AG$6,$AG$8,IF(K23=$AH$6,$AH$8,IF(K23=$AI$6,$AI$8,IF(K23=$AJ$6,$AJ$8))))),IF(J23=$AE$9,IF(K23=$AF$6,$AF$9,IF(K23=$AG$6,$AG$9,IF(K23=$AH$6,$AH$9,IF(K23=$AI$6,$AI$9,IF(K23=$AJ$6,$AJ$9))))),IF(J23=$AE$10,IF(K23=$AF$6,$AF$10,IF(K23=$AG$6,$AG$10,IF(K23=$AH$6,$AH$10,IF(K23=$AI$6,$AI$10,IF(K23=$AJ$6,$AJ$10))))),"")))))</f>
        <v>#REF!</v>
      </c>
      <c r="M23" s="92" t="e">
        <f>+IF($N23="","",IF($N23=#REF!,#REF!,IF($N23=$AG$15,$AH$15)))</f>
        <v>#REF!</v>
      </c>
      <c r="N23" s="92" t="e">
        <f>+IF(L23="","",IF(OR(L23=#REF!,L23=$AF$13,L23=$AF$14),#REF!,IF(L23=$AF$15,$AG$15)))</f>
        <v>#REF!</v>
      </c>
      <c r="O23" s="210"/>
      <c r="P23" s="92" t="e">
        <f>+IF($M23="","",IF($M23=$AH$15,$AG$15,$O23))</f>
        <v>#REF!</v>
      </c>
      <c r="Q23" s="210"/>
      <c r="R23" s="210"/>
      <c r="S23" s="211"/>
      <c r="T23" s="211"/>
      <c r="U23" s="210"/>
      <c r="V23" s="210"/>
      <c r="W23" s="210"/>
      <c r="X23" s="210"/>
      <c r="Y23" s="210"/>
      <c r="Z23" s="210"/>
      <c r="AA23" s="94"/>
      <c r="AB23" s="94"/>
    </row>
    <row r="24" spans="1:50" ht="43.5" customHeight="1" x14ac:dyDescent="0.25">
      <c r="A24" s="91" t="str">
        <f>'2 CONTEXTO E IDENTIFICACIÓN'!A23</f>
        <v>R20</v>
      </c>
      <c r="B24" s="92" t="str">
        <f>+'2 CONTEXTO E IDENTIFICACIÓN'!E23</f>
        <v xml:space="preserve">  </v>
      </c>
      <c r="C24" s="126" t="str">
        <f>+'3 PROBABIL E IMPACTO INHERENTE'!E26</f>
        <v/>
      </c>
      <c r="D24" s="126" t="str">
        <f>+'3 PROBABIL E IMPACTO INHERENTE'!M26</f>
        <v/>
      </c>
      <c r="E24" s="122" t="str">
        <f>+'4 MAPA CALOR INHERENTE'!C26</f>
        <v/>
      </c>
      <c r="F24" s="122" t="str">
        <f>+'4 MAPA CALOR INHERENTE'!D26</f>
        <v/>
      </c>
      <c r="G24" s="92" t="str">
        <f>+'4 MAPA CALOR INHERENTE'!E26</f>
        <v/>
      </c>
      <c r="H24" s="121" t="str">
        <f>+'5 VALORACIÓN DEL CONTROL'!S77</f>
        <v/>
      </c>
      <c r="I24" s="93" t="str">
        <f>+'5 VALORACIÓN DEL CONTROL'!T77</f>
        <v/>
      </c>
      <c r="J24" s="122" t="e">
        <f>+IF(H24=0,"",IF(H24&lt;=$AD$10,$AE$10,IF(H24&lt;=$AD$9,$AE$9,IF(H24&lt;=$AD$8,$AE$8,IF(H24&lt;=#REF!,#REF!,IF(H24&lt;=$AD$7,$AE$7,""))))))</f>
        <v>#REF!</v>
      </c>
      <c r="K24" s="122" t="str">
        <f t="shared" si="0"/>
        <v/>
      </c>
      <c r="L24" s="92" t="e">
        <f>+IF(J24=$AE$7,IF(K24=$AF$6,$AF$7,IF(K24=$AG$6,$AG$7,IF(K24=$AH$6,$AH$7,IF(K24=$AI$6,$AI$7,IF(K24=$AJ$6,$AJ$7))))),IF(J24=#REF!,IF(K24=$AF$6,#REF!,IF(K24=$AG$6,#REF!,IF(K24=$AH$6,#REF!,IF(K24=$AI$6,#REF!,IF(K24=$AJ$6,#REF!))))),IF(J24=$AE$8,IF(K24=$AF$6,$AF$8,IF(K24=$AG$6,$AG$8,IF(K24=$AH$6,$AH$8,IF(K24=$AI$6,$AI$8,IF(K24=$AJ$6,$AJ$8))))),IF(J24=$AE$9,IF(K24=$AF$6,$AF$9,IF(K24=$AG$6,$AG$9,IF(K24=$AH$6,$AH$9,IF(K24=$AI$6,$AI$9,IF(K24=$AJ$6,$AJ$9))))),IF(J24=$AE$10,IF(K24=$AF$6,$AF$10,IF(K24=$AG$6,$AG$10,IF(K24=$AH$6,$AH$10,IF(K24=$AI$6,$AI$10,IF(K24=$AJ$6,$AJ$10))))),"")))))</f>
        <v>#REF!</v>
      </c>
      <c r="M24" s="92" t="e">
        <f>+IF($N24="","",IF($N24=#REF!,#REF!,IF($N24=$AG$15,$AH$15)))</f>
        <v>#REF!</v>
      </c>
      <c r="N24" s="92" t="e">
        <f>+IF(L24="","",IF(OR(L24=#REF!,L24=$AF$13,L24=$AF$14),#REF!,IF(L24=$AF$15,$AG$15)))</f>
        <v>#REF!</v>
      </c>
      <c r="O24" s="210"/>
      <c r="P24" s="92" t="e">
        <f>+IF($M24="","",IF($M24=$AH$15,$AG$15,$O24))</f>
        <v>#REF!</v>
      </c>
      <c r="Q24" s="210"/>
      <c r="R24" s="210"/>
      <c r="S24" s="211"/>
      <c r="T24" s="211"/>
      <c r="U24" s="210"/>
      <c r="V24" s="210"/>
      <c r="W24" s="210"/>
      <c r="X24" s="210"/>
      <c r="Y24" s="210"/>
      <c r="Z24" s="210"/>
      <c r="AA24" s="94"/>
      <c r="AB24" s="94"/>
    </row>
    <row r="25" spans="1:50" ht="14.45" customHeight="1" x14ac:dyDescent="0.25">
      <c r="B25" s="77"/>
      <c r="C25" s="77"/>
      <c r="D25" s="77"/>
      <c r="G25" s="77"/>
      <c r="I25" s="77"/>
      <c r="L25" s="77"/>
      <c r="M25" s="77"/>
      <c r="N25" s="77"/>
      <c r="O25" s="77"/>
      <c r="P25" s="77"/>
      <c r="Q25" s="77"/>
      <c r="R25" s="77"/>
      <c r="S25" s="127"/>
      <c r="T25" s="127"/>
      <c r="U25" s="77"/>
      <c r="V25" s="77"/>
      <c r="W25" s="77"/>
      <c r="X25" s="77"/>
      <c r="Y25" s="77"/>
      <c r="Z25" s="77"/>
      <c r="AA25" s="77"/>
      <c r="AB25" s="77"/>
      <c r="AM25" s="82"/>
      <c r="AN25" s="82"/>
      <c r="AO25" s="82"/>
      <c r="AP25" s="82"/>
      <c r="AQ25" s="82"/>
      <c r="AR25" s="77"/>
      <c r="AS25" s="77"/>
      <c r="AT25" s="77"/>
      <c r="AU25" s="77"/>
      <c r="AV25" s="77"/>
    </row>
    <row r="26" spans="1:50" ht="39" customHeight="1" x14ac:dyDescent="0.25">
      <c r="B26" s="77"/>
      <c r="C26" s="77"/>
      <c r="D26" s="77"/>
      <c r="G26" s="77"/>
      <c r="I26" s="77"/>
      <c r="L26" s="77"/>
      <c r="M26" s="77"/>
      <c r="N26" s="77"/>
      <c r="O26" s="77"/>
      <c r="P26" s="77"/>
      <c r="Q26" s="77"/>
      <c r="R26" s="77"/>
      <c r="S26" s="127"/>
      <c r="T26" s="127"/>
      <c r="U26" s="77"/>
      <c r="V26" s="77"/>
      <c r="W26" s="77"/>
      <c r="X26" s="77"/>
      <c r="Y26" s="77"/>
      <c r="Z26" s="77"/>
      <c r="AA26" s="77"/>
      <c r="AB26" s="77"/>
      <c r="AM26" s="82"/>
      <c r="AN26" s="82"/>
      <c r="AO26" s="82"/>
      <c r="AP26" s="82"/>
      <c r="AQ26" s="82"/>
      <c r="AR26" s="77"/>
      <c r="AS26" s="77"/>
      <c r="AT26" s="77"/>
      <c r="AU26" s="77"/>
      <c r="AV26" s="77"/>
    </row>
    <row r="27" spans="1:50" ht="19.5" customHeight="1" x14ac:dyDescent="0.25">
      <c r="B27" s="77"/>
      <c r="C27" s="77"/>
      <c r="D27" s="77"/>
      <c r="G27" s="77"/>
      <c r="I27" s="77"/>
      <c r="L27" s="77"/>
      <c r="M27" s="77"/>
      <c r="N27" s="77"/>
      <c r="O27" s="77"/>
      <c r="P27" s="77"/>
      <c r="Q27" s="77"/>
      <c r="R27" s="77"/>
      <c r="S27" s="127"/>
      <c r="T27" s="127"/>
      <c r="U27" s="77"/>
      <c r="V27" s="77"/>
      <c r="W27" s="77"/>
      <c r="X27" s="77"/>
      <c r="Y27" s="77"/>
      <c r="Z27" s="77"/>
      <c r="AA27" s="77"/>
      <c r="AB27" s="77"/>
      <c r="AM27" s="82"/>
      <c r="AN27" s="82"/>
      <c r="AO27" s="82"/>
      <c r="AP27" s="82"/>
      <c r="AQ27" s="82"/>
      <c r="AR27" s="77"/>
      <c r="AS27" s="77"/>
      <c r="AT27" s="77"/>
      <c r="AU27" s="77"/>
      <c r="AV27" s="77"/>
    </row>
    <row r="28" spans="1:50" ht="19.5" customHeight="1" x14ac:dyDescent="0.25">
      <c r="B28" s="77"/>
      <c r="C28" s="77"/>
      <c r="D28" s="77"/>
      <c r="G28" s="77"/>
      <c r="I28" s="77"/>
      <c r="L28" s="77"/>
      <c r="M28" s="77"/>
      <c r="N28" s="77"/>
      <c r="O28" s="77"/>
      <c r="P28" s="77"/>
      <c r="Q28" s="77"/>
      <c r="R28" s="77"/>
      <c r="S28" s="127"/>
      <c r="T28" s="127"/>
      <c r="U28" s="77"/>
      <c r="V28" s="77"/>
      <c r="W28" s="77"/>
      <c r="X28" s="77"/>
      <c r="Y28" s="77"/>
      <c r="Z28" s="77"/>
      <c r="AA28" s="77"/>
      <c r="AB28" s="77"/>
      <c r="AM28" s="82"/>
      <c r="AN28" s="82"/>
      <c r="AO28" s="82"/>
      <c r="AP28" s="82"/>
      <c r="AQ28" s="82"/>
      <c r="AR28" s="77"/>
      <c r="AS28" s="77"/>
      <c r="AT28" s="77"/>
      <c r="AU28" s="77"/>
      <c r="AV28" s="77"/>
    </row>
    <row r="29" spans="1:50" ht="19.5" customHeight="1" x14ac:dyDescent="0.25">
      <c r="B29" s="77"/>
      <c r="C29" s="77"/>
      <c r="D29" s="77"/>
      <c r="G29" s="77"/>
      <c r="I29" s="77"/>
      <c r="L29" s="77"/>
      <c r="M29" s="77"/>
      <c r="N29" s="77"/>
      <c r="O29" s="77"/>
      <c r="P29" s="77"/>
      <c r="Q29" s="77"/>
      <c r="R29" s="77"/>
      <c r="S29" s="127"/>
      <c r="T29" s="127"/>
      <c r="U29" s="77"/>
      <c r="V29" s="77"/>
      <c r="W29" s="77"/>
      <c r="X29" s="77"/>
      <c r="Y29" s="77"/>
      <c r="Z29" s="77"/>
      <c r="AA29" s="77"/>
      <c r="AB29" s="77"/>
      <c r="AM29" s="82"/>
      <c r="AN29" s="82"/>
      <c r="AO29" s="82"/>
      <c r="AP29" s="82"/>
      <c r="AQ29" s="82"/>
      <c r="AR29" s="77"/>
      <c r="AS29" s="77"/>
      <c r="AT29" s="77"/>
      <c r="AU29" s="77"/>
      <c r="AV29" s="77"/>
    </row>
    <row r="30" spans="1:50" ht="19.5" customHeight="1" x14ac:dyDescent="0.25">
      <c r="B30" s="77"/>
      <c r="C30" s="77"/>
      <c r="D30" s="77"/>
      <c r="G30" s="77"/>
      <c r="I30" s="77"/>
      <c r="L30" s="77"/>
      <c r="M30" s="77"/>
      <c r="N30" s="77"/>
      <c r="O30" s="77"/>
      <c r="P30" s="77"/>
      <c r="Q30" s="77"/>
      <c r="R30" s="77"/>
      <c r="S30" s="127"/>
      <c r="T30" s="127"/>
      <c r="U30" s="77"/>
      <c r="V30" s="77"/>
      <c r="W30" s="77"/>
      <c r="X30" s="77"/>
      <c r="Y30" s="77"/>
      <c r="Z30" s="77"/>
      <c r="AA30" s="77"/>
      <c r="AB30" s="77"/>
      <c r="AM30" s="82"/>
      <c r="AN30" s="82"/>
      <c r="AO30" s="82"/>
      <c r="AP30" s="82"/>
      <c r="AQ30" s="82"/>
      <c r="AR30" s="77"/>
      <c r="AS30" s="77"/>
      <c r="AT30" s="77"/>
      <c r="AU30" s="77"/>
      <c r="AV30" s="77"/>
    </row>
    <row r="31" spans="1:50" ht="19.5" customHeight="1" x14ac:dyDescent="0.25">
      <c r="B31" s="77"/>
      <c r="C31" s="77"/>
      <c r="D31" s="77"/>
      <c r="G31" s="77"/>
      <c r="I31" s="77"/>
      <c r="L31" s="77"/>
      <c r="M31" s="77"/>
      <c r="N31" s="77"/>
      <c r="O31" s="77"/>
      <c r="P31" s="77"/>
      <c r="Q31" s="77"/>
      <c r="R31" s="77"/>
      <c r="S31" s="127"/>
      <c r="T31" s="127"/>
      <c r="U31" s="77"/>
      <c r="V31" s="77"/>
      <c r="W31" s="77"/>
      <c r="X31" s="77"/>
      <c r="Y31" s="77"/>
      <c r="Z31" s="77"/>
      <c r="AA31" s="77"/>
      <c r="AB31" s="77"/>
      <c r="AM31" s="82"/>
      <c r="AN31" s="82"/>
      <c r="AO31" s="82"/>
      <c r="AP31" s="82"/>
      <c r="AQ31" s="82"/>
      <c r="AR31" s="77"/>
      <c r="AS31" s="77"/>
      <c r="AT31" s="77"/>
      <c r="AU31" s="77"/>
      <c r="AV31" s="77"/>
    </row>
  </sheetData>
  <sheetProtection formatCells="0" formatColumns="0" formatRows="0" sort="0" autoFilter="0" pivotTables="0"/>
  <dataConsolidate/>
  <mergeCells count="8">
    <mergeCell ref="B2:D2"/>
    <mergeCell ref="B3:D3"/>
    <mergeCell ref="AC7:AC10"/>
    <mergeCell ref="E5:G5"/>
    <mergeCell ref="AF3:AJ3"/>
    <mergeCell ref="J5:L5"/>
    <mergeCell ref="U5:W5"/>
    <mergeCell ref="Q5:T5"/>
  </mergeCells>
  <conditionalFormatting sqref="F7:F24 K7:K24">
    <cfRule type="cellIs" dxfId="17" priority="1" operator="equal">
      <formula>$AF$6</formula>
    </cfRule>
    <cfRule type="cellIs" dxfId="16" priority="2" operator="equal">
      <formula>$AG$6</formula>
    </cfRule>
    <cfRule type="cellIs" dxfId="15" priority="3" operator="equal">
      <formula>$AH$6</formula>
    </cfRule>
    <cfRule type="cellIs" dxfId="14" priority="4" operator="equal">
      <formula>$AI$6</formula>
    </cfRule>
    <cfRule type="cellIs" dxfId="13" priority="5" operator="equal">
      <formula>$AJ$6</formula>
    </cfRule>
  </conditionalFormatting>
  <conditionalFormatting sqref="E7:E24 I7:J24">
    <cfRule type="cellIs" dxfId="8" priority="293" operator="equal">
      <formula>$AE$10</formula>
    </cfRule>
    <cfRule type="cellIs" dxfId="7" priority="294" operator="equal">
      <formula>$AE$9</formula>
    </cfRule>
    <cfRule type="cellIs" dxfId="6" priority="295" operator="equal">
      <formula>$AE$8</formula>
    </cfRule>
    <cfRule type="cellIs" dxfId="5" priority="296" operator="equal">
      <formula>#REF!</formula>
    </cfRule>
    <cfRule type="cellIs" dxfId="4" priority="297" operator="equal">
      <formula>$AE$7</formula>
    </cfRule>
  </conditionalFormatting>
  <conditionalFormatting sqref="G7:G24 L7:L24">
    <cfRule type="cellIs" dxfId="3" priority="333" operator="equal">
      <formula>#REF!</formula>
    </cfRule>
    <cfRule type="cellIs" dxfId="2" priority="334" operator="equal">
      <formula>$AF$13</formula>
    </cfRule>
    <cfRule type="cellIs" dxfId="1" priority="335" operator="equal">
      <formula>$AF$14</formula>
    </cfRule>
    <cfRule type="cellIs" dxfId="0" priority="336" operator="equal">
      <formula>$AF$15</formula>
    </cfRule>
  </conditionalFormatting>
  <dataValidations count="4">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JP7:JV12" xr:uid="{00000000-0002-0000-0700-000000000000}">
      <formula1>#REF!</formula1>
    </dataValidation>
    <dataValidation type="list" allowBlank="1" showInputMessage="1" showErrorMessage="1" sqref="O7:O24"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Z7:Z24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sqref="A1:XFD2"/>
    </sheetView>
  </sheetViews>
  <sheetFormatPr baseColWidth="10" defaultColWidth="10.85546875" defaultRowHeight="15" x14ac:dyDescent="0.2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x14ac:dyDescent="0.2">
      <c r="A1" s="22"/>
      <c r="B1" s="22"/>
      <c r="C1" s="22"/>
      <c r="D1" s="49"/>
      <c r="F1" s="51"/>
    </row>
    <row r="2" spans="1:11" s="10" customFormat="1" ht="14.45" customHeight="1" x14ac:dyDescent="0.25">
      <c r="A2" s="25" t="s">
        <v>149</v>
      </c>
      <c r="B2" s="365" t="str">
        <f>+IF('2 CONTEXTO E IDENTIFICACIÓN'!$B$2="","",'2 CONTEXTO E IDENTIFICACIÓN'!$B$2)</f>
        <v xml:space="preserve">GESTIÓN DE SERVICIOS PUBLICOS </v>
      </c>
      <c r="C2" s="365"/>
      <c r="D2" s="365"/>
      <c r="E2" s="129"/>
      <c r="F2" s="130"/>
    </row>
    <row r="3" spans="1:11" ht="15.75" thickBot="1" x14ac:dyDescent="0.3">
      <c r="A3" s="24"/>
      <c r="B3" s="366" t="str">
        <f>+IF('2 CONTEXTO E IDENTIFICACIÓN'!$D$2="","",'2 CONTEXTO E IDENTIFICACIÓN'!$D$2)</f>
        <v/>
      </c>
      <c r="C3" s="366"/>
      <c r="D3" s="366"/>
    </row>
    <row r="4" spans="1:11" ht="15.75" thickBot="1" x14ac:dyDescent="0.3">
      <c r="A4" s="509" t="s">
        <v>41</v>
      </c>
      <c r="B4" s="510"/>
      <c r="C4" s="510"/>
      <c r="D4" s="510"/>
      <c r="E4" s="510"/>
      <c r="F4" s="510"/>
      <c r="G4" s="510"/>
      <c r="H4" s="510"/>
      <c r="I4" s="510"/>
      <c r="J4" s="510"/>
      <c r="K4" s="511"/>
    </row>
    <row r="5" spans="1:11" ht="6" customHeight="1" thickBot="1" x14ac:dyDescent="0.3">
      <c r="A5" s="509"/>
      <c r="B5" s="510"/>
      <c r="C5" s="510"/>
      <c r="D5" s="510"/>
      <c r="E5" s="510"/>
      <c r="F5" s="510"/>
      <c r="G5" s="510"/>
      <c r="H5" s="510"/>
      <c r="I5" s="510"/>
      <c r="J5" s="510"/>
      <c r="K5" s="511"/>
    </row>
    <row r="6" spans="1:11" ht="34.5" customHeight="1" x14ac:dyDescent="0.25">
      <c r="A6" s="512" t="s">
        <v>42</v>
      </c>
      <c r="B6" s="513"/>
      <c r="C6" s="513"/>
      <c r="D6" s="513"/>
      <c r="E6" s="513"/>
      <c r="F6" s="513"/>
      <c r="G6" s="513"/>
      <c r="H6" s="513"/>
      <c r="I6" s="513"/>
      <c r="J6" s="513"/>
      <c r="K6" s="514"/>
    </row>
    <row r="7" spans="1:11" ht="18.75" customHeight="1" x14ac:dyDescent="0.25">
      <c r="A7" s="518" t="s">
        <v>19</v>
      </c>
      <c r="B7" s="519"/>
      <c r="C7" s="519"/>
      <c r="D7" s="519"/>
      <c r="E7" s="519"/>
      <c r="F7" s="519"/>
      <c r="G7" s="519"/>
      <c r="H7" s="519"/>
      <c r="I7" s="519"/>
      <c r="J7" s="519"/>
      <c r="K7" s="520"/>
    </row>
    <row r="8" spans="1:11" ht="34.5" customHeight="1" x14ac:dyDescent="0.25">
      <c r="A8" s="515" t="s">
        <v>20</v>
      </c>
      <c r="B8" s="516"/>
      <c r="C8" s="516"/>
      <c r="D8" s="516"/>
      <c r="E8" s="516"/>
      <c r="F8" s="516"/>
      <c r="G8" s="516"/>
      <c r="H8" s="516"/>
      <c r="I8" s="516"/>
      <c r="J8" s="516"/>
      <c r="K8" s="517"/>
    </row>
    <row r="9" spans="1:11" ht="50.25" customHeight="1" thickBot="1" x14ac:dyDescent="0.3">
      <c r="A9" s="506" t="s">
        <v>113</v>
      </c>
      <c r="B9" s="507"/>
      <c r="C9" s="507"/>
      <c r="D9" s="507"/>
      <c r="E9" s="507"/>
      <c r="F9" s="507"/>
      <c r="G9" s="507"/>
      <c r="H9" s="507"/>
      <c r="I9" s="507"/>
      <c r="J9" s="507"/>
      <c r="K9" s="508"/>
    </row>
    <row r="10" spans="1:11" x14ac:dyDescent="0.25">
      <c r="A10" s="131"/>
      <c r="B10" s="131"/>
      <c r="C10" s="131"/>
      <c r="D10" s="131"/>
      <c r="E10" s="131"/>
      <c r="F10" s="131"/>
      <c r="G10" s="131"/>
      <c r="H10" s="131"/>
      <c r="I10" s="131"/>
      <c r="J10" s="131"/>
      <c r="K10" s="131"/>
    </row>
    <row r="11" spans="1:11" s="133" customFormat="1" ht="38.25" x14ac:dyDescent="0.25">
      <c r="A11" s="132"/>
      <c r="B11" s="503" t="s">
        <v>26</v>
      </c>
      <c r="C11" s="504"/>
      <c r="D11" s="505" t="s">
        <v>27</v>
      </c>
      <c r="E11" s="505"/>
      <c r="G11" s="83" t="s">
        <v>82</v>
      </c>
    </row>
    <row r="12" spans="1:11" ht="30" x14ac:dyDescent="0.25">
      <c r="A12" s="311" t="s">
        <v>21</v>
      </c>
      <c r="B12" s="312">
        <f>+COUNTIF('8 MAPA RIESGOS'!$G$7:$G$24,G12)</f>
        <v>0</v>
      </c>
      <c r="C12" s="313">
        <f>+B12/$B$16</f>
        <v>0</v>
      </c>
      <c r="D12" s="312">
        <f>+COUNTIF('8 MAPA RIESGOS'!$L$7:$L$24,G12)</f>
        <v>0</v>
      </c>
      <c r="E12" s="313">
        <f>+D12/$D$16</f>
        <v>0</v>
      </c>
      <c r="G12" s="112" t="s">
        <v>78</v>
      </c>
    </row>
    <row r="13" spans="1:11" ht="30" x14ac:dyDescent="0.25">
      <c r="A13" s="311" t="s">
        <v>22</v>
      </c>
      <c r="B13" s="312">
        <f>+COUNTIF('8 MAPA RIESGOS'!$G$7:$G$24,G13)</f>
        <v>6</v>
      </c>
      <c r="C13" s="313">
        <f t="shared" ref="C13:C16" si="0">+B13/$B$16</f>
        <v>0.8571428571428571</v>
      </c>
      <c r="D13" s="312">
        <f>+COUNTIF('8 MAPA RIESGOS'!$L$7:$L$24,G13)</f>
        <v>0</v>
      </c>
      <c r="E13" s="313">
        <f t="shared" ref="E13:E16" si="1">+D13/$D$16</f>
        <v>0</v>
      </c>
      <c r="G13" s="95" t="s">
        <v>79</v>
      </c>
    </row>
    <row r="14" spans="1:11" ht="30" x14ac:dyDescent="0.25">
      <c r="A14" s="311" t="s">
        <v>23</v>
      </c>
      <c r="B14" s="312">
        <f>+COUNTIF('8 MAPA RIESGOS'!$G$7:$G$24,G14)</f>
        <v>1</v>
      </c>
      <c r="C14" s="313">
        <f t="shared" si="0"/>
        <v>0.14285714285714285</v>
      </c>
      <c r="D14" s="312">
        <f>+COUNTIF('8 MAPA RIESGOS'!$L$7:$L$24,G14)</f>
        <v>1</v>
      </c>
      <c r="E14" s="313">
        <f t="shared" si="1"/>
        <v>1</v>
      </c>
      <c r="G14" s="99" t="s">
        <v>5</v>
      </c>
    </row>
    <row r="15" spans="1:11" ht="30" x14ac:dyDescent="0.25">
      <c r="A15" s="311" t="s">
        <v>24</v>
      </c>
      <c r="B15" s="312">
        <f>+COUNTIF('8 MAPA RIESGOS'!$G$7:$G$24,G15)</f>
        <v>0</v>
      </c>
      <c r="C15" s="313">
        <f t="shared" si="0"/>
        <v>0</v>
      </c>
      <c r="D15" s="312">
        <f>+COUNTIF('8 MAPA RIESGOS'!$L$7:$L$24,G15)</f>
        <v>0</v>
      </c>
      <c r="E15" s="313">
        <f t="shared" si="1"/>
        <v>0</v>
      </c>
      <c r="G15" s="103" t="s">
        <v>80</v>
      </c>
    </row>
    <row r="16" spans="1:11" x14ac:dyDescent="0.25">
      <c r="A16" s="134" t="s">
        <v>25</v>
      </c>
      <c r="B16" s="312">
        <f>+SUM(B12:B15)</f>
        <v>7</v>
      </c>
      <c r="C16" s="313">
        <f t="shared" si="0"/>
        <v>1</v>
      </c>
      <c r="D16" s="312">
        <f>+SUM(D12:D15)</f>
        <v>1</v>
      </c>
      <c r="E16" s="313">
        <f t="shared" si="1"/>
        <v>1</v>
      </c>
    </row>
    <row r="18" spans="2:4" s="135" customFormat="1" x14ac:dyDescent="0.25">
      <c r="B18" s="136" t="s">
        <v>26</v>
      </c>
      <c r="D18" s="136" t="s">
        <v>27</v>
      </c>
    </row>
    <row r="19" spans="2:4" s="135" customFormat="1" ht="41.45" customHeight="1" x14ac:dyDescent="0.25">
      <c r="B19" s="137" t="str">
        <f>+IF((B12/B16)&gt;=0.2,G12,+IF(((B12/B16)+(B13/B16))&gt;=0.3,G13,+IF(((B12/B16)+(B13/B16)+(B14/B16))&gt;=0.4,G14,+IF((B12/B16)+(B13/B16)+(B14/B16)+(B15/B16)&gt;=0.5,G15,""))))</f>
        <v>Alto</v>
      </c>
      <c r="D19" s="137" t="str">
        <f>+IF((D12/D16)&gt;=0.2,G12,+IF(((D12/D16)+(D13/D16))&gt;=0.3,G13,+IF(((D12/D16)+(D13/D16)+(D14/D16))&gt;=0.4,G14,+IF((D12/D16)+(D13/D16)+(D14/D16)+(D15/D16)&gt;=0.5,G15,""))))</f>
        <v>Moderado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12" priority="1" operator="containsText" text="Bajo">
      <formula>NOT(ISERROR(SEARCH("Bajo",B19)))</formula>
    </cfRule>
    <cfRule type="containsText" dxfId="11" priority="2" operator="containsText" text="Moderado">
      <formula>NOT(ISERROR(SEARCH("Moderado",B19)))</formula>
    </cfRule>
    <cfRule type="containsText" dxfId="10" priority="3" operator="containsText" text="Alto">
      <formula>NOT(ISERROR(SEARCH("Alto",B19)))</formula>
    </cfRule>
    <cfRule type="containsText" dxfId="9"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Michael David</cp:lastModifiedBy>
  <cp:lastPrinted>2021-05-20T21:19:24Z</cp:lastPrinted>
  <dcterms:created xsi:type="dcterms:W3CDTF">2006-09-16T00:00:00Z</dcterms:created>
  <dcterms:modified xsi:type="dcterms:W3CDTF">2026-07-29T15:53:25Z</dcterms:modified>
</cp:coreProperties>
</file>